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1.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2.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3.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4.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6.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7.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8.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9.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10.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11.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12.xml" ContentType="application/vnd.openxmlformats-officedocument.themeOverride+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alenasherman/Downloads/"/>
    </mc:Choice>
  </mc:AlternateContent>
  <xr:revisionPtr revIDLastSave="0" documentId="8_{6D85083D-4603-CB47-9E48-73875EFE88D6}" xr6:coauthVersionLast="47" xr6:coauthVersionMax="47" xr10:uidLastSave="{00000000-0000-0000-0000-000000000000}"/>
  <bookViews>
    <workbookView xWindow="0" yWindow="500" windowWidth="44800" windowHeight="23240" tabRatio="817" xr2:uid="{77272CBF-DFC6-A540-8626-8DBBAF311EFD}"/>
  </bookViews>
  <sheets>
    <sheet name="Outcomes" sheetId="1" r:id="rId1"/>
    <sheet name="Data" sheetId="3" state="hidden" r:id="rId2"/>
    <sheet name="Quant dashboards" sheetId="6" r:id="rId3"/>
    <sheet name="Quant analysis" sheetId="5" r:id="rId4"/>
    <sheet name="Cogs" sheetId="16" state="hidden" r:id="rId5"/>
    <sheet name="OH indicator results" sheetId="13" state="hidden" r:id="rId6"/>
    <sheet name="Database PW" sheetId="7" state="hidden" r:id="rId7"/>
    <sheet name="Dropdowns" sheetId="4" r:id="rId8"/>
    <sheet name="change log" sheetId="12" state="hidden" r:id="rId9"/>
  </sheets>
  <definedNames>
    <definedName name="_xlnm._FilterDatabase" localSheetId="0" hidden="1">Outcomes!$A$4:$AG$5</definedName>
    <definedName name="_xlnm._FilterDatabase" localSheetId="3" hidden="1">'Quant analysis'!$DS$50:$DT$50</definedName>
    <definedName name="_ftn1" localSheetId="0">Outcomes!#REF!</definedName>
    <definedName name="_ftnref1" localSheetId="0">Outcomes!#REF!</definedName>
    <definedName name="_Hlk98930567" localSheetId="0">Outcomes!#REF!</definedName>
    <definedName name="Geographical_level_of_infleunce">Table2[Geographical level of infleunce]</definedName>
    <definedName name="KPIs">Dropdowns!$P$3:$P$5</definedName>
    <definedName name="Output_dropdown">Table4[Output indicators]</definedName>
    <definedName name="_xlnm.Print_Area" localSheetId="0">Outcomes!$A$3:$E$5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5" l="1"/>
  <c r="B7" i="5" l="1"/>
  <c r="B15" i="5"/>
  <c r="DD24" i="5" l="1"/>
  <c r="CX6" i="5"/>
  <c r="DD31" i="5"/>
  <c r="CY4" i="5"/>
  <c r="DD20" i="5"/>
  <c r="DC20" i="5"/>
  <c r="DB20" i="5"/>
  <c r="DA20" i="5"/>
  <c r="CZ20" i="5"/>
  <c r="CY20" i="5"/>
  <c r="CX20" i="5"/>
  <c r="CX2" i="5" l="1"/>
  <c r="AM11" i="13" l="1"/>
  <c r="AN11" i="13"/>
  <c r="AO11" i="13"/>
  <c r="AQ11" i="13"/>
  <c r="AP11" i="13"/>
  <c r="AD28" i="5" l="1"/>
  <c r="AD29" i="5"/>
  <c r="AC28" i="5"/>
  <c r="AC29" i="5"/>
  <c r="AB28" i="5"/>
  <c r="AB29" i="5"/>
  <c r="AA28" i="5"/>
  <c r="AA29" i="5"/>
  <c r="Z28" i="5"/>
  <c r="Z29" i="5"/>
  <c r="Y28" i="5"/>
  <c r="Y29" i="5"/>
  <c r="X28" i="5"/>
  <c r="X29" i="5"/>
  <c r="W28" i="5"/>
  <c r="W29" i="5"/>
  <c r="V28" i="5"/>
  <c r="V29" i="5"/>
  <c r="U28" i="5"/>
  <c r="U29" i="5"/>
  <c r="U27" i="5"/>
  <c r="AQ3" i="5"/>
  <c r="AQ4" i="5"/>
  <c r="AQ5" i="5"/>
  <c r="AQ6" i="5"/>
  <c r="AQ7" i="5"/>
  <c r="AQ8" i="5"/>
  <c r="AQ9" i="5"/>
  <c r="AQ10" i="5"/>
  <c r="AQ11" i="5"/>
  <c r="AQ12" i="5"/>
  <c r="AQ13" i="5"/>
  <c r="AQ14" i="5"/>
  <c r="AP3" i="5"/>
  <c r="AP4" i="5"/>
  <c r="AP5" i="5"/>
  <c r="AP6" i="5"/>
  <c r="AP7" i="5"/>
  <c r="AP8" i="5"/>
  <c r="AP9" i="5"/>
  <c r="AP10" i="5"/>
  <c r="AP11" i="5"/>
  <c r="AP12" i="5"/>
  <c r="AP13" i="5"/>
  <c r="AP14" i="5"/>
  <c r="AO3" i="5"/>
  <c r="AO4" i="5"/>
  <c r="AO5" i="5"/>
  <c r="AO6" i="5"/>
  <c r="AO7" i="5"/>
  <c r="AO8" i="5"/>
  <c r="AO9" i="5"/>
  <c r="AO10" i="5"/>
  <c r="AO11" i="5"/>
  <c r="AO12" i="5"/>
  <c r="AO13" i="5"/>
  <c r="AO14" i="5"/>
  <c r="AN3" i="5"/>
  <c r="AN4" i="5"/>
  <c r="AN5" i="5"/>
  <c r="AN6" i="5"/>
  <c r="AN7" i="5"/>
  <c r="AN8" i="5"/>
  <c r="AN9" i="5"/>
  <c r="AN10" i="5"/>
  <c r="AN11" i="5"/>
  <c r="AN12" i="5"/>
  <c r="AN13" i="5"/>
  <c r="AN14" i="5"/>
  <c r="AM3" i="5"/>
  <c r="AM4" i="5"/>
  <c r="AM5" i="5"/>
  <c r="AM6" i="5"/>
  <c r="AM7" i="5"/>
  <c r="AM8" i="5"/>
  <c r="AM9" i="5"/>
  <c r="AM10" i="5"/>
  <c r="AM11" i="5"/>
  <c r="AM12" i="5"/>
  <c r="AM13" i="5"/>
  <c r="AM14" i="5"/>
  <c r="AL3" i="5"/>
  <c r="AL4" i="5"/>
  <c r="AL5" i="5"/>
  <c r="AL6" i="5"/>
  <c r="AL7" i="5"/>
  <c r="AL8" i="5"/>
  <c r="AL9" i="5"/>
  <c r="AL10" i="5"/>
  <c r="AL11" i="5"/>
  <c r="AL12" i="5"/>
  <c r="AL13" i="5"/>
  <c r="AL14" i="5"/>
  <c r="AK3" i="5"/>
  <c r="AK4" i="5"/>
  <c r="AK5" i="5"/>
  <c r="AK6" i="5"/>
  <c r="AK7" i="5"/>
  <c r="AK8" i="5"/>
  <c r="AK9" i="5"/>
  <c r="AK10" i="5"/>
  <c r="AK11" i="5"/>
  <c r="AK12" i="5"/>
  <c r="AK13" i="5"/>
  <c r="AK14" i="5"/>
  <c r="AJ3" i="5"/>
  <c r="AJ4" i="5"/>
  <c r="AJ5" i="5"/>
  <c r="AJ6" i="5"/>
  <c r="AJ7" i="5"/>
  <c r="AJ8" i="5"/>
  <c r="AJ9" i="5"/>
  <c r="AJ10" i="5"/>
  <c r="AJ11" i="5"/>
  <c r="AJ12" i="5"/>
  <c r="AJ13" i="5"/>
  <c r="AJ14" i="5"/>
  <c r="AI3" i="5"/>
  <c r="AI4" i="5"/>
  <c r="AI5" i="5"/>
  <c r="AI6" i="5"/>
  <c r="AI7" i="5"/>
  <c r="AI8" i="5"/>
  <c r="AI9" i="5"/>
  <c r="AI10" i="5"/>
  <c r="AI11" i="5"/>
  <c r="AI12" i="5"/>
  <c r="AI13" i="5"/>
  <c r="AI14" i="5"/>
  <c r="AI2" i="5"/>
  <c r="AH2" i="5"/>
  <c r="DN39" i="5"/>
  <c r="DN3" i="5"/>
  <c r="DN4" i="5"/>
  <c r="DN5" i="5"/>
  <c r="DN6" i="5"/>
  <c r="DN7" i="5"/>
  <c r="DN8" i="5"/>
  <c r="DN9" i="5"/>
  <c r="DN10" i="5"/>
  <c r="DN11" i="5"/>
  <c r="DN12" i="5"/>
  <c r="DN13" i="5"/>
  <c r="DN14" i="5"/>
  <c r="DN15" i="5"/>
  <c r="DN16" i="5"/>
  <c r="DN17" i="5"/>
  <c r="DN18" i="5"/>
  <c r="DN19" i="5"/>
  <c r="DN20" i="5"/>
  <c r="DN21" i="5"/>
  <c r="DN22" i="5"/>
  <c r="DN23" i="5"/>
  <c r="DN24" i="5"/>
  <c r="DN25" i="5"/>
  <c r="DN26" i="5"/>
  <c r="DN27" i="5"/>
  <c r="DN28" i="5"/>
  <c r="DN29" i="5"/>
  <c r="DN30" i="5"/>
  <c r="DN31" i="5"/>
  <c r="DN32" i="5"/>
  <c r="DN33" i="5"/>
  <c r="DN34" i="5"/>
  <c r="DN35" i="5"/>
  <c r="DN36" i="5"/>
  <c r="DN37" i="5"/>
  <c r="DN38" i="5"/>
  <c r="DM3" i="5"/>
  <c r="DM4" i="5"/>
  <c r="DM5" i="5"/>
  <c r="DM6" i="5"/>
  <c r="DM7" i="5"/>
  <c r="DM8" i="5"/>
  <c r="DM9" i="5"/>
  <c r="DM10" i="5"/>
  <c r="DM11" i="5"/>
  <c r="DM12" i="5"/>
  <c r="DM13" i="5"/>
  <c r="DM14" i="5"/>
  <c r="DM15" i="5"/>
  <c r="DM16" i="5"/>
  <c r="DM17" i="5"/>
  <c r="DM18" i="5"/>
  <c r="DM19" i="5"/>
  <c r="DM20" i="5"/>
  <c r="DM21" i="5"/>
  <c r="DM22" i="5"/>
  <c r="DM23" i="5"/>
  <c r="DM24" i="5"/>
  <c r="DM25" i="5"/>
  <c r="DM26" i="5"/>
  <c r="DM27" i="5"/>
  <c r="DM28" i="5"/>
  <c r="DM29" i="5"/>
  <c r="DM30" i="5"/>
  <c r="DM31" i="5"/>
  <c r="DM32" i="5"/>
  <c r="DM33" i="5"/>
  <c r="DM34" i="5"/>
  <c r="DM35" i="5"/>
  <c r="DM36" i="5"/>
  <c r="DM37" i="5"/>
  <c r="DM38" i="5"/>
  <c r="DM39" i="5"/>
  <c r="DL3" i="5"/>
  <c r="DL4" i="5"/>
  <c r="DL5" i="5"/>
  <c r="DL6" i="5"/>
  <c r="DL7" i="5"/>
  <c r="DL8" i="5"/>
  <c r="DL9" i="5"/>
  <c r="DL10" i="5"/>
  <c r="DL11" i="5"/>
  <c r="DL12" i="5"/>
  <c r="DL13" i="5"/>
  <c r="DL14" i="5"/>
  <c r="DL15" i="5"/>
  <c r="DL16" i="5"/>
  <c r="DL17" i="5"/>
  <c r="DL18" i="5"/>
  <c r="DL19" i="5"/>
  <c r="DL20" i="5"/>
  <c r="DL21" i="5"/>
  <c r="DL22" i="5"/>
  <c r="DL23" i="5"/>
  <c r="DL24" i="5"/>
  <c r="DL25" i="5"/>
  <c r="DL26" i="5"/>
  <c r="DL27" i="5"/>
  <c r="DL28" i="5"/>
  <c r="DL29" i="5"/>
  <c r="DL30" i="5"/>
  <c r="DL31" i="5"/>
  <c r="DL32" i="5"/>
  <c r="DL33" i="5"/>
  <c r="DL34" i="5"/>
  <c r="DL35" i="5"/>
  <c r="DL36" i="5"/>
  <c r="DL37" i="5"/>
  <c r="DL38" i="5"/>
  <c r="DL39" i="5"/>
  <c r="DK3" i="5"/>
  <c r="DK4" i="5"/>
  <c r="DK5" i="5"/>
  <c r="DK6" i="5"/>
  <c r="DK7" i="5"/>
  <c r="DK8" i="5"/>
  <c r="DK9" i="5"/>
  <c r="DK10" i="5"/>
  <c r="DK11" i="5"/>
  <c r="DK12" i="5"/>
  <c r="DK13" i="5"/>
  <c r="DK14" i="5"/>
  <c r="DK15" i="5"/>
  <c r="DK16" i="5"/>
  <c r="DK17" i="5"/>
  <c r="DK18" i="5"/>
  <c r="DK19" i="5"/>
  <c r="DK20" i="5"/>
  <c r="DK21" i="5"/>
  <c r="DK22" i="5"/>
  <c r="DK23" i="5"/>
  <c r="DK24" i="5"/>
  <c r="DK25" i="5"/>
  <c r="DK26" i="5"/>
  <c r="DK27" i="5"/>
  <c r="DK28" i="5"/>
  <c r="DK29" i="5"/>
  <c r="DK30" i="5"/>
  <c r="DK31" i="5"/>
  <c r="DK32" i="5"/>
  <c r="DK33" i="5"/>
  <c r="DK34" i="5"/>
  <c r="DK35" i="5"/>
  <c r="DK36" i="5"/>
  <c r="DK37" i="5"/>
  <c r="DK38" i="5"/>
  <c r="DK39" i="5"/>
  <c r="DP2" i="5"/>
  <c r="AE29" i="5" l="1"/>
  <c r="AE28" i="5"/>
  <c r="AI15" i="5"/>
  <c r="W26" i="5"/>
  <c r="X26" i="5"/>
  <c r="Y26" i="5"/>
  <c r="Z26" i="5"/>
  <c r="AA26" i="5"/>
  <c r="AB26" i="5"/>
  <c r="AC26" i="5"/>
  <c r="AD26" i="5"/>
  <c r="W27" i="5"/>
  <c r="X27" i="5"/>
  <c r="Y27" i="5"/>
  <c r="Z27" i="5"/>
  <c r="AA27" i="5"/>
  <c r="AB27" i="5"/>
  <c r="AC27" i="5"/>
  <c r="AD27" i="5"/>
  <c r="V25" i="5"/>
  <c r="V26" i="5"/>
  <c r="V27" i="5"/>
  <c r="U25" i="5"/>
  <c r="U26" i="5"/>
  <c r="FD21" i="5"/>
  <c r="FD22" i="5"/>
  <c r="FD23" i="5"/>
  <c r="FD24" i="5"/>
  <c r="FD25" i="5"/>
  <c r="EY48" i="5" s="1"/>
  <c r="FD20" i="5"/>
  <c r="FC21" i="5"/>
  <c r="FC22" i="5"/>
  <c r="FC23" i="5"/>
  <c r="FC24" i="5"/>
  <c r="FC25" i="5"/>
  <c r="EY47" i="5" s="1"/>
  <c r="FC20" i="5"/>
  <c r="FB21" i="5"/>
  <c r="FB22" i="5"/>
  <c r="FB23" i="5"/>
  <c r="FB24" i="5"/>
  <c r="FB25" i="5"/>
  <c r="EY46" i="5" s="1"/>
  <c r="FB20" i="5"/>
  <c r="FA21" i="5"/>
  <c r="FA22" i="5"/>
  <c r="FA23" i="5"/>
  <c r="FA24" i="5"/>
  <c r="FA25" i="5"/>
  <c r="EY45" i="5" s="1"/>
  <c r="FA20" i="5"/>
  <c r="EZ21" i="5"/>
  <c r="EZ22" i="5"/>
  <c r="EZ23" i="5"/>
  <c r="EZ24" i="5"/>
  <c r="EZ25" i="5"/>
  <c r="EY44" i="5" s="1"/>
  <c r="EZ20" i="5"/>
  <c r="EY21" i="5"/>
  <c r="EY22" i="5"/>
  <c r="EY23" i="5"/>
  <c r="EY24" i="5"/>
  <c r="EY25" i="5"/>
  <c r="EY43" i="5" s="1"/>
  <c r="EY20" i="5"/>
  <c r="EX21" i="5"/>
  <c r="EX22" i="5"/>
  <c r="EX23" i="5"/>
  <c r="EX24" i="5"/>
  <c r="EX25" i="5"/>
  <c r="EY42" i="5" s="1"/>
  <c r="EX20" i="5"/>
  <c r="EX3" i="5"/>
  <c r="EY13" i="5" s="1"/>
  <c r="EX4" i="5"/>
  <c r="EZ13" i="5" s="1"/>
  <c r="EX5" i="5"/>
  <c r="FA14" i="5" s="1"/>
  <c r="EX6" i="5"/>
  <c r="FB14" i="5" s="1"/>
  <c r="EX7" i="5"/>
  <c r="FC15" i="5" s="1"/>
  <c r="EX2" i="5"/>
  <c r="ET25" i="5"/>
  <c r="EO48" i="5" s="1"/>
  <c r="ES25" i="5"/>
  <c r="EO47" i="5" s="1"/>
  <c r="ER25" i="5"/>
  <c r="EO46" i="5" s="1"/>
  <c r="EQ25" i="5"/>
  <c r="EO45" i="5" s="1"/>
  <c r="EP25" i="5"/>
  <c r="EO44" i="5" s="1"/>
  <c r="EO25" i="5"/>
  <c r="EO43" i="5" s="1"/>
  <c r="EN25" i="5"/>
  <c r="EO42" i="5" s="1"/>
  <c r="ET21" i="5"/>
  <c r="ET22" i="5"/>
  <c r="ET23" i="5"/>
  <c r="ET24" i="5"/>
  <c r="ET20" i="5"/>
  <c r="ES21" i="5"/>
  <c r="ES22" i="5"/>
  <c r="ES23" i="5"/>
  <c r="ES24" i="5"/>
  <c r="ES20" i="5"/>
  <c r="ER21" i="5"/>
  <c r="ER22" i="5"/>
  <c r="ER23" i="5"/>
  <c r="ER24" i="5"/>
  <c r="ER20" i="5"/>
  <c r="EQ21" i="5"/>
  <c r="EQ22" i="5"/>
  <c r="EQ23" i="5"/>
  <c r="EQ24" i="5"/>
  <c r="EQ20" i="5"/>
  <c r="EP21" i="5"/>
  <c r="EP22" i="5"/>
  <c r="EP23" i="5"/>
  <c r="EP24" i="5"/>
  <c r="EP20" i="5"/>
  <c r="EO21" i="5"/>
  <c r="EO22" i="5"/>
  <c r="EO23" i="5"/>
  <c r="EO24" i="5"/>
  <c r="EO20" i="5"/>
  <c r="EN20" i="5"/>
  <c r="EN23" i="5"/>
  <c r="EN21" i="5"/>
  <c r="EN22" i="5"/>
  <c r="EN24" i="5"/>
  <c r="EN7" i="5"/>
  <c r="ES15" i="5" s="1"/>
  <c r="EN6" i="5"/>
  <c r="ER14" i="5" s="1"/>
  <c r="EN5" i="5"/>
  <c r="EQ14" i="5" s="1"/>
  <c r="EN4" i="5"/>
  <c r="EP13" i="5" s="1"/>
  <c r="EN3" i="5"/>
  <c r="EO13" i="5" s="1"/>
  <c r="EN2" i="5"/>
  <c r="EN13" i="5" s="1"/>
  <c r="EI25" i="5"/>
  <c r="ED48" i="5" s="1"/>
  <c r="EI24" i="5"/>
  <c r="EI23" i="5"/>
  <c r="EI22" i="5"/>
  <c r="EI21" i="5"/>
  <c r="EI20" i="5"/>
  <c r="EH21" i="5"/>
  <c r="EH22" i="5"/>
  <c r="EH23" i="5"/>
  <c r="EH24" i="5"/>
  <c r="EH25" i="5"/>
  <c r="ED47" i="5" s="1"/>
  <c r="EH20" i="5"/>
  <c r="EG20" i="5"/>
  <c r="EG21" i="5"/>
  <c r="EG22" i="5"/>
  <c r="EG23" i="5"/>
  <c r="EG24" i="5"/>
  <c r="EG25" i="5"/>
  <c r="ED46" i="5" s="1"/>
  <c r="EF25" i="5"/>
  <c r="ED45" i="5" s="1"/>
  <c r="EF24" i="5"/>
  <c r="EF23" i="5"/>
  <c r="EF21" i="5"/>
  <c r="EF22" i="5"/>
  <c r="EF20" i="5"/>
  <c r="EE25" i="5"/>
  <c r="ED44" i="5" s="1"/>
  <c r="EE24" i="5"/>
  <c r="EE23" i="5"/>
  <c r="EE22" i="5"/>
  <c r="EE21" i="5"/>
  <c r="EE20" i="5"/>
  <c r="ED25" i="5"/>
  <c r="ED43" i="5" s="1"/>
  <c r="ED24" i="5"/>
  <c r="ED22" i="5"/>
  <c r="ED23" i="5"/>
  <c r="ED21" i="5"/>
  <c r="ED20" i="5"/>
  <c r="EC24" i="5"/>
  <c r="EC20" i="5"/>
  <c r="EC25" i="5"/>
  <c r="ED42" i="5" s="1"/>
  <c r="EC22" i="5"/>
  <c r="EC23" i="5"/>
  <c r="EC21" i="5"/>
  <c r="EC3" i="5"/>
  <c r="ED13" i="5" s="1"/>
  <c r="EC4" i="5"/>
  <c r="EE13" i="5" s="1"/>
  <c r="EC5" i="5"/>
  <c r="EF14" i="5" s="1"/>
  <c r="EC6" i="5"/>
  <c r="EG14" i="5" s="1"/>
  <c r="EC7" i="5"/>
  <c r="EH15" i="5" s="1"/>
  <c r="EC2" i="5"/>
  <c r="EC13" i="5" s="1"/>
  <c r="DY3" i="5"/>
  <c r="DY4" i="5"/>
  <c r="DY5" i="5"/>
  <c r="DY6" i="5"/>
  <c r="DY7" i="5"/>
  <c r="DY8" i="5"/>
  <c r="DY9" i="5"/>
  <c r="DY10" i="5"/>
  <c r="DY11" i="5"/>
  <c r="DY12" i="5"/>
  <c r="DY13" i="5"/>
  <c r="DY14" i="5"/>
  <c r="DY15" i="5"/>
  <c r="DY16" i="5"/>
  <c r="DY17" i="5"/>
  <c r="DY18" i="5"/>
  <c r="DY19" i="5"/>
  <c r="DY20" i="5"/>
  <c r="DY21" i="5"/>
  <c r="DY22" i="5"/>
  <c r="DY23" i="5"/>
  <c r="DY24" i="5"/>
  <c r="DY25" i="5"/>
  <c r="DY26" i="5"/>
  <c r="DY27" i="5"/>
  <c r="DY28" i="5"/>
  <c r="DY29" i="5"/>
  <c r="DY30" i="5"/>
  <c r="DY31" i="5"/>
  <c r="DY32" i="5"/>
  <c r="DY2" i="5"/>
  <c r="DX3" i="5"/>
  <c r="DX4" i="5"/>
  <c r="DX5" i="5"/>
  <c r="DX6" i="5"/>
  <c r="DX7" i="5"/>
  <c r="DX8" i="5"/>
  <c r="DX9" i="5"/>
  <c r="DX10" i="5"/>
  <c r="DX11" i="5"/>
  <c r="DX12" i="5"/>
  <c r="DX13" i="5"/>
  <c r="DX14" i="5"/>
  <c r="DX15" i="5"/>
  <c r="DX16" i="5"/>
  <c r="DX17" i="5"/>
  <c r="DX18" i="5"/>
  <c r="DX19" i="5"/>
  <c r="DX20" i="5"/>
  <c r="DX21" i="5"/>
  <c r="DX22" i="5"/>
  <c r="DX23" i="5"/>
  <c r="DX24" i="5"/>
  <c r="DX25" i="5"/>
  <c r="DX26" i="5"/>
  <c r="DX27" i="5"/>
  <c r="DX28" i="5"/>
  <c r="DX29" i="5"/>
  <c r="DX30" i="5"/>
  <c r="DX31" i="5"/>
  <c r="DX32" i="5"/>
  <c r="DX2" i="5"/>
  <c r="DW3" i="5"/>
  <c r="DW4" i="5"/>
  <c r="DW5" i="5"/>
  <c r="DW6" i="5"/>
  <c r="DW7" i="5"/>
  <c r="DW8" i="5"/>
  <c r="DW9" i="5"/>
  <c r="DW10" i="5"/>
  <c r="DW11" i="5"/>
  <c r="DW12" i="5"/>
  <c r="DW13" i="5"/>
  <c r="DW14" i="5"/>
  <c r="DW15" i="5"/>
  <c r="DW16" i="5"/>
  <c r="DW17" i="5"/>
  <c r="DW18" i="5"/>
  <c r="DW19" i="5"/>
  <c r="DW20" i="5"/>
  <c r="DW21" i="5"/>
  <c r="DW22" i="5"/>
  <c r="DW23" i="5"/>
  <c r="DW24" i="5"/>
  <c r="DW25" i="5"/>
  <c r="DW26" i="5"/>
  <c r="DW27" i="5"/>
  <c r="DW28" i="5"/>
  <c r="DW29" i="5"/>
  <c r="DW30" i="5"/>
  <c r="DW31" i="5"/>
  <c r="DW32" i="5"/>
  <c r="DW2" i="5"/>
  <c r="DV3" i="5"/>
  <c r="DV4" i="5"/>
  <c r="DV5" i="5"/>
  <c r="DV6" i="5"/>
  <c r="DV7" i="5"/>
  <c r="DV8" i="5"/>
  <c r="DV9" i="5"/>
  <c r="DV10" i="5"/>
  <c r="DV11" i="5"/>
  <c r="DV12" i="5"/>
  <c r="DV13" i="5"/>
  <c r="DV14" i="5"/>
  <c r="DV15" i="5"/>
  <c r="DV16" i="5"/>
  <c r="DV17" i="5"/>
  <c r="DV18" i="5"/>
  <c r="DV19" i="5"/>
  <c r="DV20" i="5"/>
  <c r="DV21" i="5"/>
  <c r="DV22" i="5"/>
  <c r="DV23" i="5"/>
  <c r="DV24" i="5"/>
  <c r="DV25" i="5"/>
  <c r="DV26" i="5"/>
  <c r="DV27" i="5"/>
  <c r="DV28" i="5"/>
  <c r="DV29" i="5"/>
  <c r="DV30" i="5"/>
  <c r="DV31" i="5"/>
  <c r="DV32" i="5"/>
  <c r="DV2" i="5"/>
  <c r="DU3" i="5"/>
  <c r="DU4" i="5"/>
  <c r="DU5" i="5"/>
  <c r="DU6" i="5"/>
  <c r="DU7" i="5"/>
  <c r="DU8" i="5"/>
  <c r="DU9" i="5"/>
  <c r="DU10" i="5"/>
  <c r="DU11" i="5"/>
  <c r="DU12" i="5"/>
  <c r="DU13" i="5"/>
  <c r="DU14" i="5"/>
  <c r="DU15" i="5"/>
  <c r="DU16" i="5"/>
  <c r="DU17" i="5"/>
  <c r="DU18" i="5"/>
  <c r="DU19" i="5"/>
  <c r="DU20" i="5"/>
  <c r="DU21" i="5"/>
  <c r="DU22" i="5"/>
  <c r="DU23" i="5"/>
  <c r="DU24" i="5"/>
  <c r="DU25" i="5"/>
  <c r="DU26" i="5"/>
  <c r="DU27" i="5"/>
  <c r="DU28" i="5"/>
  <c r="DU29" i="5"/>
  <c r="DU30" i="5"/>
  <c r="DU31" i="5"/>
  <c r="DU32" i="5"/>
  <c r="DU2" i="5"/>
  <c r="DT2" i="5"/>
  <c r="DT3" i="5"/>
  <c r="DT4" i="5"/>
  <c r="DT5" i="5"/>
  <c r="DT6" i="5"/>
  <c r="DT7" i="5"/>
  <c r="DT8" i="5"/>
  <c r="DT9" i="5"/>
  <c r="DT10" i="5"/>
  <c r="DT11" i="5"/>
  <c r="DT12" i="5"/>
  <c r="DT13" i="5"/>
  <c r="DT14" i="5"/>
  <c r="DT15" i="5"/>
  <c r="DT16" i="5"/>
  <c r="DT17" i="5"/>
  <c r="DT18" i="5"/>
  <c r="DT19" i="5"/>
  <c r="DT20" i="5"/>
  <c r="DT21" i="5"/>
  <c r="DT22" i="5"/>
  <c r="DT23" i="5"/>
  <c r="DT24" i="5"/>
  <c r="DT25" i="5"/>
  <c r="DT26" i="5"/>
  <c r="DT27" i="5"/>
  <c r="DT28" i="5"/>
  <c r="DT29" i="5"/>
  <c r="DT30" i="5"/>
  <c r="DT31" i="5"/>
  <c r="DT32" i="5"/>
  <c r="DT35" i="5" l="1"/>
  <c r="DX37" i="5"/>
  <c r="DV37" i="5"/>
  <c r="DT36" i="5"/>
  <c r="DY37" i="5"/>
  <c r="DW37" i="5"/>
  <c r="DT38" i="5"/>
  <c r="DT37" i="5"/>
  <c r="DU37" i="5"/>
  <c r="AE27" i="5"/>
  <c r="AE26" i="5"/>
  <c r="EY38" i="5"/>
  <c r="EO41" i="5"/>
  <c r="EY37" i="5"/>
  <c r="EY33" i="5"/>
  <c r="ED39" i="5"/>
  <c r="EX8" i="5"/>
  <c r="EY31" i="5"/>
  <c r="EY35" i="5"/>
  <c r="EY39" i="5"/>
  <c r="EY30" i="5"/>
  <c r="EY41" i="5"/>
  <c r="EY36" i="5"/>
  <c r="EY40" i="5"/>
  <c r="EY34" i="5"/>
  <c r="EY32" i="5"/>
  <c r="FE24" i="5"/>
  <c r="FE21" i="5"/>
  <c r="FE22" i="5"/>
  <c r="EY29" i="5"/>
  <c r="EY28" i="5"/>
  <c r="FE20" i="5"/>
  <c r="EX13" i="5"/>
  <c r="FC16" i="5" s="1"/>
  <c r="FE23" i="5"/>
  <c r="FE25" i="5"/>
  <c r="EO39" i="5"/>
  <c r="ED40" i="5"/>
  <c r="ED30" i="5"/>
  <c r="EO37" i="5"/>
  <c r="EJ20" i="5"/>
  <c r="ED33" i="5"/>
  <c r="ED37" i="5"/>
  <c r="ED41" i="5"/>
  <c r="EJ23" i="5"/>
  <c r="EJ24" i="5"/>
  <c r="ED38" i="5"/>
  <c r="ED32" i="5"/>
  <c r="ED34" i="5"/>
  <c r="EO40" i="5"/>
  <c r="EJ21" i="5"/>
  <c r="ED36" i="5"/>
  <c r="ED29" i="5"/>
  <c r="EJ22" i="5"/>
  <c r="ED31" i="5"/>
  <c r="EO38" i="5"/>
  <c r="ED35" i="5"/>
  <c r="ED28" i="5"/>
  <c r="EO35" i="5"/>
  <c r="EJ25" i="5"/>
  <c r="EO36" i="5"/>
  <c r="EO34" i="5"/>
  <c r="EO33" i="5"/>
  <c r="EO32" i="5"/>
  <c r="EO31" i="5"/>
  <c r="EO30" i="5"/>
  <c r="EO29" i="5"/>
  <c r="EU21" i="5"/>
  <c r="EO28" i="5"/>
  <c r="EU24" i="5"/>
  <c r="EU22" i="5"/>
  <c r="EN8" i="5"/>
  <c r="ES16" i="5"/>
  <c r="EU20" i="5"/>
  <c r="EU23" i="5"/>
  <c r="EU25" i="5"/>
  <c r="EH16" i="5"/>
  <c r="EC8" i="5"/>
  <c r="DY35" i="5"/>
  <c r="DX35" i="5"/>
  <c r="DV35" i="5"/>
  <c r="DX36" i="5"/>
  <c r="DW36" i="5"/>
  <c r="DU35" i="5"/>
  <c r="DV36" i="5"/>
  <c r="DW38" i="5"/>
  <c r="DY36" i="5"/>
  <c r="DV38" i="5"/>
  <c r="DU38" i="5"/>
  <c r="DU36" i="5"/>
  <c r="DX38" i="5"/>
  <c r="DW35" i="5"/>
  <c r="DY38" i="5"/>
  <c r="DY39" i="5" l="1"/>
  <c r="EY49" i="5"/>
  <c r="FE26" i="5"/>
  <c r="ED49" i="5"/>
  <c r="EO49" i="5"/>
  <c r="EU26" i="5"/>
  <c r="DP3" i="5"/>
  <c r="DP4" i="5"/>
  <c r="DP5" i="5"/>
  <c r="DP6" i="5"/>
  <c r="DP7" i="5"/>
  <c r="DP8" i="5"/>
  <c r="DP9" i="5"/>
  <c r="DP10" i="5"/>
  <c r="DP11" i="5"/>
  <c r="DP12" i="5"/>
  <c r="DP13" i="5"/>
  <c r="DP14" i="5"/>
  <c r="DP15" i="5"/>
  <c r="DP16" i="5"/>
  <c r="DP17" i="5"/>
  <c r="DP18" i="5"/>
  <c r="DP19" i="5"/>
  <c r="DP20" i="5"/>
  <c r="DP21" i="5"/>
  <c r="DP22" i="5"/>
  <c r="DP23" i="5"/>
  <c r="DP24" i="5"/>
  <c r="DP25" i="5"/>
  <c r="DP26" i="5"/>
  <c r="DP27" i="5"/>
  <c r="DP28" i="5"/>
  <c r="DP29" i="5"/>
  <c r="DP30" i="5"/>
  <c r="DP31" i="5"/>
  <c r="DP32" i="5"/>
  <c r="DP33" i="5"/>
  <c r="DP34" i="5"/>
  <c r="DP35" i="5"/>
  <c r="DP36" i="5"/>
  <c r="DP37" i="5"/>
  <c r="DP38" i="5"/>
  <c r="DP39" i="5"/>
  <c r="DO2" i="5"/>
  <c r="DO3" i="5"/>
  <c r="DO4" i="5"/>
  <c r="DO5" i="5"/>
  <c r="DO6" i="5"/>
  <c r="DO7" i="5"/>
  <c r="DO8" i="5"/>
  <c r="DO9" i="5"/>
  <c r="DO10" i="5"/>
  <c r="DO11" i="5"/>
  <c r="DO12" i="5"/>
  <c r="DO13" i="5"/>
  <c r="DO14" i="5"/>
  <c r="DO15" i="5"/>
  <c r="DO16" i="5"/>
  <c r="DO17" i="5"/>
  <c r="DO18" i="5"/>
  <c r="DO19" i="5"/>
  <c r="DO20" i="5"/>
  <c r="DO21" i="5"/>
  <c r="DO22" i="5"/>
  <c r="DO23" i="5"/>
  <c r="DO24" i="5"/>
  <c r="DO25" i="5"/>
  <c r="DO26" i="5"/>
  <c r="DO27" i="5"/>
  <c r="DO28" i="5"/>
  <c r="DO29" i="5"/>
  <c r="DO30" i="5"/>
  <c r="DO31" i="5"/>
  <c r="DO32" i="5"/>
  <c r="DO33" i="5"/>
  <c r="DO34" i="5"/>
  <c r="DO35" i="5"/>
  <c r="DO36" i="5"/>
  <c r="DO37" i="5"/>
  <c r="DO38" i="5"/>
  <c r="DO39" i="5"/>
  <c r="DN2" i="5"/>
  <c r="DM2" i="5"/>
  <c r="DL2" i="5"/>
  <c r="DI55" i="5"/>
  <c r="DK2" i="5"/>
  <c r="DI58" i="5" l="1"/>
  <c r="DI53" i="5"/>
  <c r="DI51" i="5"/>
  <c r="DI57" i="5"/>
  <c r="DN50" i="5"/>
  <c r="DN55" i="5"/>
  <c r="DN54" i="5"/>
  <c r="DN46" i="5"/>
  <c r="DN59" i="5"/>
  <c r="DM50" i="5"/>
  <c r="DM55" i="5"/>
  <c r="DM54" i="5"/>
  <c r="DM46" i="5"/>
  <c r="DM59" i="5"/>
  <c r="DM44" i="5"/>
  <c r="DL50" i="5"/>
  <c r="DL55" i="5"/>
  <c r="DL54" i="5"/>
  <c r="DL46" i="5"/>
  <c r="DL59" i="5"/>
  <c r="DL44" i="5"/>
  <c r="DK50" i="5"/>
  <c r="DK55" i="5"/>
  <c r="DK54" i="5"/>
  <c r="DK46" i="5"/>
  <c r="DK59" i="5"/>
  <c r="DJ50" i="5"/>
  <c r="DJ55" i="5"/>
  <c r="DJ54" i="5"/>
  <c r="DJ46" i="5"/>
  <c r="DJ59" i="5"/>
  <c r="DJ5" i="5"/>
  <c r="DJ6" i="5"/>
  <c r="DJ8" i="5"/>
  <c r="DJ9" i="5"/>
  <c r="DJ13" i="5"/>
  <c r="DJ14" i="5"/>
  <c r="DJ18" i="5"/>
  <c r="DJ21" i="5"/>
  <c r="DJ22" i="5"/>
  <c r="DJ23" i="5"/>
  <c r="DJ25" i="5"/>
  <c r="DJ26" i="5"/>
  <c r="DJ33" i="5"/>
  <c r="DI59" i="5"/>
  <c r="DC31" i="5"/>
  <c r="DD34" i="5"/>
  <c r="DD33" i="5"/>
  <c r="DD32" i="5"/>
  <c r="DD30" i="5"/>
  <c r="DD29" i="5"/>
  <c r="DC30" i="5"/>
  <c r="DB33" i="5"/>
  <c r="DC34" i="5"/>
  <c r="DC33" i="5"/>
  <c r="DC32" i="5"/>
  <c r="DC29" i="5"/>
  <c r="DB34" i="5"/>
  <c r="DB32" i="5"/>
  <c r="DB31" i="5"/>
  <c r="DB30" i="5"/>
  <c r="DB29" i="5"/>
  <c r="DA34" i="5"/>
  <c r="DA33" i="5"/>
  <c r="DA32" i="5"/>
  <c r="DA31" i="5"/>
  <c r="DA30" i="5"/>
  <c r="DA29" i="5"/>
  <c r="CZ34" i="5"/>
  <c r="CZ33" i="5"/>
  <c r="CZ32" i="5"/>
  <c r="CZ31" i="5"/>
  <c r="CZ30" i="5"/>
  <c r="CZ29" i="5"/>
  <c r="CY34" i="5"/>
  <c r="CY33" i="5"/>
  <c r="CY32" i="5"/>
  <c r="CY31" i="5"/>
  <c r="CY30" i="5"/>
  <c r="CY29" i="5"/>
  <c r="CX34" i="5"/>
  <c r="CX33" i="5"/>
  <c r="CX32" i="5"/>
  <c r="CX31" i="5"/>
  <c r="CX30" i="5"/>
  <c r="CX29" i="5"/>
  <c r="CX24" i="5"/>
  <c r="CX25" i="5"/>
  <c r="CY25" i="5"/>
  <c r="CZ25" i="5"/>
  <c r="DA25" i="5"/>
  <c r="DB25" i="5"/>
  <c r="DC25" i="5"/>
  <c r="DD25" i="5"/>
  <c r="DB21" i="5"/>
  <c r="DA21" i="5"/>
  <c r="CZ21" i="5"/>
  <c r="CY21" i="5"/>
  <c r="CX21" i="5"/>
  <c r="CY23" i="5"/>
  <c r="CY22" i="5"/>
  <c r="DC23" i="5"/>
  <c r="DB23" i="5"/>
  <c r="DA23" i="5"/>
  <c r="CZ23" i="5"/>
  <c r="CX23" i="5"/>
  <c r="DD23" i="5"/>
  <c r="DD22" i="5"/>
  <c r="DD21" i="5"/>
  <c r="DC24" i="5"/>
  <c r="DC22" i="5"/>
  <c r="DC21" i="5"/>
  <c r="DB24" i="5"/>
  <c r="DB22" i="5"/>
  <c r="DA24" i="5"/>
  <c r="DA22" i="5"/>
  <c r="CZ24" i="5"/>
  <c r="CZ22" i="5"/>
  <c r="CY24" i="5"/>
  <c r="CX22" i="5"/>
  <c r="DE21" i="5" l="1"/>
  <c r="DE20" i="5"/>
  <c r="CY57" i="5"/>
  <c r="EJ26" i="5"/>
  <c r="DO59" i="5"/>
  <c r="DO55" i="5"/>
  <c r="DL51" i="5"/>
  <c r="DJ20" i="5"/>
  <c r="DL58" i="5"/>
  <c r="DL45" i="5"/>
  <c r="DM52" i="5"/>
  <c r="DM56" i="5"/>
  <c r="DN53" i="5"/>
  <c r="DJ49" i="5"/>
  <c r="DL57" i="5"/>
  <c r="DJ53" i="5"/>
  <c r="DJ48" i="5"/>
  <c r="DL47" i="5"/>
  <c r="DM51" i="5"/>
  <c r="DN48" i="5"/>
  <c r="DJ58" i="5"/>
  <c r="DJ45" i="5"/>
  <c r="DL53" i="5"/>
  <c r="DN58" i="5"/>
  <c r="DJ57" i="5"/>
  <c r="DL48" i="5"/>
  <c r="DN57" i="5"/>
  <c r="DJ51" i="5"/>
  <c r="DN51" i="5"/>
  <c r="DJ38" i="5"/>
  <c r="DJ30" i="5"/>
  <c r="DJ29" i="5"/>
  <c r="DK52" i="5"/>
  <c r="DK56" i="5"/>
  <c r="DJ39" i="5"/>
  <c r="DJ36" i="5"/>
  <c r="DJ28" i="5"/>
  <c r="DJ35" i="5"/>
  <c r="DJ17" i="5"/>
  <c r="DP40" i="5"/>
  <c r="DN44" i="5"/>
  <c r="DJ24" i="5"/>
  <c r="DI54" i="5"/>
  <c r="DO54" i="5" s="1"/>
  <c r="DN49" i="5"/>
  <c r="DJ16" i="5"/>
  <c r="DJ31" i="5"/>
  <c r="DI48" i="5"/>
  <c r="DJ15" i="5"/>
  <c r="DI50" i="5"/>
  <c r="DO50" i="5" s="1"/>
  <c r="DJ7" i="5"/>
  <c r="DI49" i="5"/>
  <c r="DK58" i="5"/>
  <c r="DK45" i="5"/>
  <c r="DL52" i="5"/>
  <c r="DL56" i="5"/>
  <c r="DM53" i="5"/>
  <c r="DJ32" i="5"/>
  <c r="DK57" i="5"/>
  <c r="DK47" i="5"/>
  <c r="DM48" i="5"/>
  <c r="DM49" i="5"/>
  <c r="DN45" i="5"/>
  <c r="DJ37" i="5"/>
  <c r="DI46" i="5"/>
  <c r="DO46" i="5" s="1"/>
  <c r="DJ4" i="5"/>
  <c r="DI45" i="5"/>
  <c r="DJ47" i="5"/>
  <c r="DK51" i="5"/>
  <c r="DL49" i="5"/>
  <c r="DN47" i="5"/>
  <c r="DJ12" i="5"/>
  <c r="DJ27" i="5"/>
  <c r="DJ19" i="5"/>
  <c r="DI47" i="5"/>
  <c r="DJ11" i="5"/>
  <c r="DJ3" i="5"/>
  <c r="DJ52" i="5"/>
  <c r="DJ56" i="5"/>
  <c r="DK53" i="5"/>
  <c r="DM58" i="5"/>
  <c r="DM45" i="5"/>
  <c r="DN52" i="5"/>
  <c r="DN56" i="5"/>
  <c r="DJ34" i="5"/>
  <c r="DI52" i="5"/>
  <c r="DJ10" i="5"/>
  <c r="DI56" i="5"/>
  <c r="DK48" i="5"/>
  <c r="DK49" i="5"/>
  <c r="DM57" i="5"/>
  <c r="DM47" i="5"/>
  <c r="DO40" i="5"/>
  <c r="CY55" i="5"/>
  <c r="DN40" i="5"/>
  <c r="CY54" i="5"/>
  <c r="DK40" i="5"/>
  <c r="CY53" i="5"/>
  <c r="CY52" i="5"/>
  <c r="CY56" i="5"/>
  <c r="CY46" i="5"/>
  <c r="CY51" i="5"/>
  <c r="CY50" i="5"/>
  <c r="CY40" i="5"/>
  <c r="CY41" i="5"/>
  <c r="CY42" i="5"/>
  <c r="CY47" i="5"/>
  <c r="CY44" i="5"/>
  <c r="CY48" i="5"/>
  <c r="CY49" i="5"/>
  <c r="CY37" i="5"/>
  <c r="CY38" i="5"/>
  <c r="CY45" i="5"/>
  <c r="CY39" i="5"/>
  <c r="CY43" i="5"/>
  <c r="DE34" i="5"/>
  <c r="DE33" i="5"/>
  <c r="DE32" i="5"/>
  <c r="DE31" i="5"/>
  <c r="DE30" i="5"/>
  <c r="DE29" i="5"/>
  <c r="DE25" i="5"/>
  <c r="DE22" i="5"/>
  <c r="DE24" i="5"/>
  <c r="CY58" i="5" l="1"/>
  <c r="DO53" i="5"/>
  <c r="DO57" i="5"/>
  <c r="DO58" i="5"/>
  <c r="DO47" i="5"/>
  <c r="DO45" i="5"/>
  <c r="DO49" i="5"/>
  <c r="DO51" i="5"/>
  <c r="DO56" i="5"/>
  <c r="DO48" i="5"/>
  <c r="DO52" i="5"/>
  <c r="DE35" i="5"/>
  <c r="DE23" i="5"/>
  <c r="DE26" i="5" s="1"/>
  <c r="DB7" i="5" l="1"/>
  <c r="DB6" i="5"/>
  <c r="DB5" i="5"/>
  <c r="DB4" i="5"/>
  <c r="DB3" i="5"/>
  <c r="DB2" i="5"/>
  <c r="DA7" i="5"/>
  <c r="DA6" i="5"/>
  <c r="DA5" i="5"/>
  <c r="DA4" i="5"/>
  <c r="DA3" i="5"/>
  <c r="CY3" i="5"/>
  <c r="DA2" i="5"/>
  <c r="CY7" i="5"/>
  <c r="CY6" i="5"/>
  <c r="CY5" i="5"/>
  <c r="CY2" i="5"/>
  <c r="CX7" i="5"/>
  <c r="CX5" i="5"/>
  <c r="CX4" i="5"/>
  <c r="CX3" i="5"/>
  <c r="CZ3" i="5" l="1"/>
  <c r="DJ43" i="5" s="1"/>
  <c r="CY8" i="5"/>
  <c r="CZ4" i="5"/>
  <c r="DK43" i="5" s="1"/>
  <c r="CZ6" i="5"/>
  <c r="DM43" i="5" s="1"/>
  <c r="CZ7" i="5"/>
  <c r="DN43" i="5" s="1"/>
  <c r="CZ5" i="5"/>
  <c r="DL43" i="5" s="1"/>
  <c r="DB8" i="5"/>
  <c r="CZ2" i="5"/>
  <c r="AL2" i="5"/>
  <c r="AL15" i="5" s="1"/>
  <c r="DC3" i="5" l="1"/>
  <c r="CY13" i="5"/>
  <c r="DI43" i="5"/>
  <c r="DO43" i="5" s="1"/>
  <c r="CZ8" i="5"/>
  <c r="DC4" i="5"/>
  <c r="CZ13" i="5"/>
  <c r="DA14" i="5"/>
  <c r="DC5" i="5"/>
  <c r="DC15" i="5"/>
  <c r="DD15" i="5" s="1"/>
  <c r="DC7" i="5"/>
  <c r="DB14" i="5"/>
  <c r="DC6" i="5"/>
  <c r="CX13" i="5"/>
  <c r="DC2" i="5"/>
  <c r="BV3" i="5"/>
  <c r="BW3" i="5"/>
  <c r="BX3" i="5"/>
  <c r="BY3" i="5"/>
  <c r="BZ3" i="5"/>
  <c r="CA3" i="5"/>
  <c r="CB3" i="5"/>
  <c r="CC3" i="5"/>
  <c r="CD3" i="5"/>
  <c r="CE3" i="5"/>
  <c r="BV4" i="5"/>
  <c r="BW4" i="5"/>
  <c r="BX4" i="5"/>
  <c r="BY4" i="5"/>
  <c r="BZ4" i="5"/>
  <c r="CA4" i="5"/>
  <c r="CB4" i="5"/>
  <c r="CC4" i="5"/>
  <c r="CD4" i="5"/>
  <c r="CE4" i="5"/>
  <c r="BV5" i="5"/>
  <c r="BW5" i="5"/>
  <c r="BX5" i="5"/>
  <c r="BY5" i="5"/>
  <c r="BZ5" i="5"/>
  <c r="CA5" i="5"/>
  <c r="CB5" i="5"/>
  <c r="CC5" i="5"/>
  <c r="CD5" i="5"/>
  <c r="CE5" i="5"/>
  <c r="BV6" i="5"/>
  <c r="BW6" i="5"/>
  <c r="BX6" i="5"/>
  <c r="BY6" i="5"/>
  <c r="BZ6" i="5"/>
  <c r="CA6" i="5"/>
  <c r="CB6" i="5"/>
  <c r="CC6" i="5"/>
  <c r="CD6" i="5"/>
  <c r="CE6" i="5"/>
  <c r="BV7" i="5"/>
  <c r="BW7" i="5"/>
  <c r="BX7" i="5"/>
  <c r="BY7" i="5"/>
  <c r="BZ7" i="5"/>
  <c r="CA7" i="5"/>
  <c r="CB7" i="5"/>
  <c r="CC7" i="5"/>
  <c r="CD7" i="5"/>
  <c r="CE7" i="5"/>
  <c r="BV8" i="5"/>
  <c r="BW8" i="5"/>
  <c r="BX8" i="5"/>
  <c r="BY8" i="5"/>
  <c r="BZ8" i="5"/>
  <c r="CA8" i="5"/>
  <c r="CB8" i="5"/>
  <c r="CC8" i="5"/>
  <c r="CD8" i="5"/>
  <c r="CE8" i="5"/>
  <c r="BV9" i="5"/>
  <c r="BW9" i="5"/>
  <c r="BX9" i="5"/>
  <c r="BY9" i="5"/>
  <c r="BZ9" i="5"/>
  <c r="CA9" i="5"/>
  <c r="CB9" i="5"/>
  <c r="CC9" i="5"/>
  <c r="CD9" i="5"/>
  <c r="CE9" i="5"/>
  <c r="BV10" i="5"/>
  <c r="BW10" i="5"/>
  <c r="BX10" i="5"/>
  <c r="BY10" i="5"/>
  <c r="BZ10" i="5"/>
  <c r="CA10" i="5"/>
  <c r="CB10" i="5"/>
  <c r="CC10" i="5"/>
  <c r="CD10" i="5"/>
  <c r="CE10" i="5"/>
  <c r="BV11" i="5"/>
  <c r="BW11" i="5"/>
  <c r="BX11" i="5"/>
  <c r="BY11" i="5"/>
  <c r="BZ11" i="5"/>
  <c r="CA11" i="5"/>
  <c r="CB11" i="5"/>
  <c r="CC11" i="5"/>
  <c r="CD11" i="5"/>
  <c r="CE11" i="5"/>
  <c r="BV12" i="5"/>
  <c r="BW12" i="5"/>
  <c r="BX12" i="5"/>
  <c r="BY12" i="5"/>
  <c r="BZ12" i="5"/>
  <c r="CA12" i="5"/>
  <c r="CB12" i="5"/>
  <c r="CC12" i="5"/>
  <c r="CD12" i="5"/>
  <c r="CE12" i="5"/>
  <c r="BV13" i="5"/>
  <c r="BW13" i="5"/>
  <c r="BX13" i="5"/>
  <c r="BY13" i="5"/>
  <c r="BZ13" i="5"/>
  <c r="CA13" i="5"/>
  <c r="CB13" i="5"/>
  <c r="CC13" i="5"/>
  <c r="CD13" i="5"/>
  <c r="CE13" i="5"/>
  <c r="BV14" i="5"/>
  <c r="BW14" i="5"/>
  <c r="BX14" i="5"/>
  <c r="BY14" i="5"/>
  <c r="BZ14" i="5"/>
  <c r="CA14" i="5"/>
  <c r="CB14" i="5"/>
  <c r="CC14" i="5"/>
  <c r="CD14" i="5"/>
  <c r="CE14" i="5"/>
  <c r="BV15" i="5"/>
  <c r="BW15" i="5"/>
  <c r="BX15" i="5"/>
  <c r="BY15" i="5"/>
  <c r="BZ15" i="5"/>
  <c r="CA15" i="5"/>
  <c r="CB15" i="5"/>
  <c r="CC15" i="5"/>
  <c r="CD15" i="5"/>
  <c r="CE15" i="5"/>
  <c r="BV16" i="5"/>
  <c r="BW16" i="5"/>
  <c r="BX16" i="5"/>
  <c r="BY16" i="5"/>
  <c r="BZ16" i="5"/>
  <c r="CA16" i="5"/>
  <c r="CB16" i="5"/>
  <c r="CC16" i="5"/>
  <c r="CD16" i="5"/>
  <c r="CE16" i="5"/>
  <c r="BV17" i="5"/>
  <c r="BW17" i="5"/>
  <c r="BX17" i="5"/>
  <c r="BY17" i="5"/>
  <c r="BZ17" i="5"/>
  <c r="CA17" i="5"/>
  <c r="CB17" i="5"/>
  <c r="CC17" i="5"/>
  <c r="CD17" i="5"/>
  <c r="CE17" i="5"/>
  <c r="BV18" i="5"/>
  <c r="BW18" i="5"/>
  <c r="BX18" i="5"/>
  <c r="BY18" i="5"/>
  <c r="BZ18" i="5"/>
  <c r="CA18" i="5"/>
  <c r="CB18" i="5"/>
  <c r="CC18" i="5"/>
  <c r="CD18" i="5"/>
  <c r="CE18" i="5"/>
  <c r="BV19" i="5"/>
  <c r="BW19" i="5"/>
  <c r="BX19" i="5"/>
  <c r="BY19" i="5"/>
  <c r="BZ19" i="5"/>
  <c r="CA19" i="5"/>
  <c r="CB19" i="5"/>
  <c r="CC19" i="5"/>
  <c r="CD19" i="5"/>
  <c r="CE19" i="5"/>
  <c r="BV20" i="5"/>
  <c r="BW20" i="5"/>
  <c r="BX20" i="5"/>
  <c r="BY20" i="5"/>
  <c r="BZ20" i="5"/>
  <c r="CA20" i="5"/>
  <c r="CB20" i="5"/>
  <c r="CC20" i="5"/>
  <c r="CD20" i="5"/>
  <c r="CE20" i="5"/>
  <c r="BV21" i="5"/>
  <c r="BW21" i="5"/>
  <c r="BX21" i="5"/>
  <c r="BY21" i="5"/>
  <c r="BZ21" i="5"/>
  <c r="CA21" i="5"/>
  <c r="CB21" i="5"/>
  <c r="CC21" i="5"/>
  <c r="CD21" i="5"/>
  <c r="CE21" i="5"/>
  <c r="BV22" i="5"/>
  <c r="BW22" i="5"/>
  <c r="BX22" i="5"/>
  <c r="BY22" i="5"/>
  <c r="BZ22" i="5"/>
  <c r="CA22" i="5"/>
  <c r="CB22" i="5"/>
  <c r="CC22" i="5"/>
  <c r="CD22" i="5"/>
  <c r="CE22" i="5"/>
  <c r="BV23" i="5"/>
  <c r="BW23" i="5"/>
  <c r="BX23" i="5"/>
  <c r="BY23" i="5"/>
  <c r="BZ23" i="5"/>
  <c r="CA23" i="5"/>
  <c r="CB23" i="5"/>
  <c r="CC23" i="5"/>
  <c r="CD23" i="5"/>
  <c r="CE23" i="5"/>
  <c r="BV24" i="5"/>
  <c r="BW24" i="5"/>
  <c r="BX24" i="5"/>
  <c r="BY24" i="5"/>
  <c r="BZ24" i="5"/>
  <c r="CA24" i="5"/>
  <c r="CB24" i="5"/>
  <c r="CC24" i="5"/>
  <c r="CD24" i="5"/>
  <c r="CE24" i="5"/>
  <c r="BV25" i="5"/>
  <c r="BW25" i="5"/>
  <c r="BX25" i="5"/>
  <c r="BY25" i="5"/>
  <c r="BZ25" i="5"/>
  <c r="CA25" i="5"/>
  <c r="CB25" i="5"/>
  <c r="CC25" i="5"/>
  <c r="CD25" i="5"/>
  <c r="CE25" i="5"/>
  <c r="BV26" i="5"/>
  <c r="BW26" i="5"/>
  <c r="BX26" i="5"/>
  <c r="BY26" i="5"/>
  <c r="BZ26" i="5"/>
  <c r="CA26" i="5"/>
  <c r="CB26" i="5"/>
  <c r="CC26" i="5"/>
  <c r="CD26" i="5"/>
  <c r="CE26" i="5"/>
  <c r="BV27" i="5"/>
  <c r="BW27" i="5"/>
  <c r="BX27" i="5"/>
  <c r="BY27" i="5"/>
  <c r="BZ27" i="5"/>
  <c r="CA27" i="5"/>
  <c r="CB27" i="5"/>
  <c r="CC27" i="5"/>
  <c r="CD27" i="5"/>
  <c r="CE27" i="5"/>
  <c r="BV28" i="5"/>
  <c r="BW28" i="5"/>
  <c r="BX28" i="5"/>
  <c r="BY28" i="5"/>
  <c r="BZ28" i="5"/>
  <c r="CA28" i="5"/>
  <c r="CB28" i="5"/>
  <c r="CC28" i="5"/>
  <c r="CD28" i="5"/>
  <c r="CE28" i="5"/>
  <c r="BV29" i="5"/>
  <c r="BW29" i="5"/>
  <c r="BX29" i="5"/>
  <c r="BY29" i="5"/>
  <c r="BZ29" i="5"/>
  <c r="CA29" i="5"/>
  <c r="CB29" i="5"/>
  <c r="CC29" i="5"/>
  <c r="CD29" i="5"/>
  <c r="CE29" i="5"/>
  <c r="BV30" i="5"/>
  <c r="BW30" i="5"/>
  <c r="BX30" i="5"/>
  <c r="BY30" i="5"/>
  <c r="BZ30" i="5"/>
  <c r="CA30" i="5"/>
  <c r="CB30" i="5"/>
  <c r="CC30" i="5"/>
  <c r="CD30" i="5"/>
  <c r="CE30" i="5"/>
  <c r="BV31" i="5"/>
  <c r="BW31" i="5"/>
  <c r="BX31" i="5"/>
  <c r="BY31" i="5"/>
  <c r="BZ31" i="5"/>
  <c r="CA31" i="5"/>
  <c r="CB31" i="5"/>
  <c r="CC31" i="5"/>
  <c r="CD31" i="5"/>
  <c r="CE31" i="5"/>
  <c r="BV32" i="5"/>
  <c r="BW32" i="5"/>
  <c r="BX32" i="5"/>
  <c r="BY32" i="5"/>
  <c r="BZ32" i="5"/>
  <c r="CA32" i="5"/>
  <c r="CB32" i="5"/>
  <c r="CC32" i="5"/>
  <c r="CD32" i="5"/>
  <c r="CE32" i="5"/>
  <c r="BV33" i="5"/>
  <c r="BW33" i="5"/>
  <c r="BX33" i="5"/>
  <c r="BY33" i="5"/>
  <c r="BZ33" i="5"/>
  <c r="CA33" i="5"/>
  <c r="CB33" i="5"/>
  <c r="CC33" i="5"/>
  <c r="CD33" i="5"/>
  <c r="CE33" i="5"/>
  <c r="BV34" i="5"/>
  <c r="BW34" i="5"/>
  <c r="BX34" i="5"/>
  <c r="BY34" i="5"/>
  <c r="BZ34" i="5"/>
  <c r="CA34" i="5"/>
  <c r="CB34" i="5"/>
  <c r="CC34" i="5"/>
  <c r="CD34" i="5"/>
  <c r="CE34" i="5"/>
  <c r="BV35" i="5"/>
  <c r="BW35" i="5"/>
  <c r="BX35" i="5"/>
  <c r="BY35" i="5"/>
  <c r="BZ35" i="5"/>
  <c r="CA35" i="5"/>
  <c r="CB35" i="5"/>
  <c r="CC35" i="5"/>
  <c r="CD35" i="5"/>
  <c r="CE35" i="5"/>
  <c r="BV36" i="5"/>
  <c r="BW36" i="5"/>
  <c r="BX36" i="5"/>
  <c r="BY36" i="5"/>
  <c r="BZ36" i="5"/>
  <c r="CA36" i="5"/>
  <c r="CB36" i="5"/>
  <c r="CC36" i="5"/>
  <c r="CD36" i="5"/>
  <c r="CE36" i="5"/>
  <c r="BV37" i="5"/>
  <c r="BW37" i="5"/>
  <c r="BX37" i="5"/>
  <c r="BY37" i="5"/>
  <c r="BZ37" i="5"/>
  <c r="CA37" i="5"/>
  <c r="CB37" i="5"/>
  <c r="CC37" i="5"/>
  <c r="CD37" i="5"/>
  <c r="CE37" i="5"/>
  <c r="BV38" i="5"/>
  <c r="BW38" i="5"/>
  <c r="BX38" i="5"/>
  <c r="BY38" i="5"/>
  <c r="BZ38" i="5"/>
  <c r="CA38" i="5"/>
  <c r="CB38" i="5"/>
  <c r="CC38" i="5"/>
  <c r="CD38" i="5"/>
  <c r="CE38" i="5"/>
  <c r="BV39" i="5"/>
  <c r="BW39" i="5"/>
  <c r="BX39" i="5"/>
  <c r="BY39" i="5"/>
  <c r="BZ39" i="5"/>
  <c r="CA39" i="5"/>
  <c r="CB39" i="5"/>
  <c r="CC39" i="5"/>
  <c r="CD39" i="5"/>
  <c r="CE39" i="5"/>
  <c r="BW2" i="5"/>
  <c r="BX2" i="5"/>
  <c r="BY2" i="5"/>
  <c r="BZ2" i="5"/>
  <c r="CA2" i="5"/>
  <c r="CB2" i="5"/>
  <c r="CC2" i="5"/>
  <c r="CD2" i="5"/>
  <c r="CE2" i="5"/>
  <c r="BV2" i="5"/>
  <c r="BI3" i="5"/>
  <c r="BJ3" i="5"/>
  <c r="BK3" i="5"/>
  <c r="BL3" i="5"/>
  <c r="BM3" i="5"/>
  <c r="BN3" i="5"/>
  <c r="BO3" i="5"/>
  <c r="BP3" i="5"/>
  <c r="BQ3" i="5"/>
  <c r="BI4" i="5"/>
  <c r="BJ4" i="5"/>
  <c r="BK4" i="5"/>
  <c r="BL4" i="5"/>
  <c r="BM4" i="5"/>
  <c r="BN4" i="5"/>
  <c r="BO4" i="5"/>
  <c r="BP4" i="5"/>
  <c r="BQ4" i="5"/>
  <c r="BI5" i="5"/>
  <c r="BJ5" i="5"/>
  <c r="BK5" i="5"/>
  <c r="BL5" i="5"/>
  <c r="BM5" i="5"/>
  <c r="BN5" i="5"/>
  <c r="BO5" i="5"/>
  <c r="BP5" i="5"/>
  <c r="BQ5" i="5"/>
  <c r="BI6" i="5"/>
  <c r="BJ6" i="5"/>
  <c r="BK6" i="5"/>
  <c r="BL6" i="5"/>
  <c r="BM6" i="5"/>
  <c r="BN6" i="5"/>
  <c r="BO6" i="5"/>
  <c r="BP6" i="5"/>
  <c r="BQ6" i="5"/>
  <c r="BJ2" i="5"/>
  <c r="BK2" i="5"/>
  <c r="BL2" i="5"/>
  <c r="BM2" i="5"/>
  <c r="BN2" i="5"/>
  <c r="BO2" i="5"/>
  <c r="BP2" i="5"/>
  <c r="BQ2" i="5"/>
  <c r="BI2" i="5"/>
  <c r="AV3" i="5"/>
  <c r="AW3" i="5"/>
  <c r="AX3" i="5"/>
  <c r="AY3" i="5"/>
  <c r="AZ3" i="5"/>
  <c r="BA3" i="5"/>
  <c r="BB3" i="5"/>
  <c r="BC3" i="5"/>
  <c r="BD3" i="5"/>
  <c r="AV4" i="5"/>
  <c r="AW4" i="5"/>
  <c r="AX4" i="5"/>
  <c r="AY4" i="5"/>
  <c r="AZ4" i="5"/>
  <c r="BA4" i="5"/>
  <c r="BB4" i="5"/>
  <c r="BC4" i="5"/>
  <c r="BD4" i="5"/>
  <c r="AV5" i="5"/>
  <c r="AW5" i="5"/>
  <c r="AX5" i="5"/>
  <c r="AY5" i="5"/>
  <c r="AZ5" i="5"/>
  <c r="BA5" i="5"/>
  <c r="BB5" i="5"/>
  <c r="BC5" i="5"/>
  <c r="BD5" i="5"/>
  <c r="AV6" i="5"/>
  <c r="AW6" i="5"/>
  <c r="AX6" i="5"/>
  <c r="AY6" i="5"/>
  <c r="AZ6" i="5"/>
  <c r="BA6" i="5"/>
  <c r="BB6" i="5"/>
  <c r="BC6" i="5"/>
  <c r="BD6" i="5"/>
  <c r="AV7" i="5"/>
  <c r="AW7" i="5"/>
  <c r="AX7" i="5"/>
  <c r="AY7" i="5"/>
  <c r="AZ7" i="5"/>
  <c r="BA7" i="5"/>
  <c r="BB7" i="5"/>
  <c r="BC7" i="5"/>
  <c r="BD7" i="5"/>
  <c r="AV8" i="5"/>
  <c r="AW8" i="5"/>
  <c r="AX8" i="5"/>
  <c r="AY8" i="5"/>
  <c r="AZ8" i="5"/>
  <c r="BA8" i="5"/>
  <c r="BB8" i="5"/>
  <c r="BC8" i="5"/>
  <c r="BD8" i="5"/>
  <c r="AV9" i="5"/>
  <c r="AW9" i="5"/>
  <c r="AX9" i="5"/>
  <c r="AY9" i="5"/>
  <c r="AZ9" i="5"/>
  <c r="BA9" i="5"/>
  <c r="BB9" i="5"/>
  <c r="BC9" i="5"/>
  <c r="BD9" i="5"/>
  <c r="AW2" i="5"/>
  <c r="AX2" i="5"/>
  <c r="AY2" i="5"/>
  <c r="AZ2" i="5"/>
  <c r="BA2" i="5"/>
  <c r="BB2" i="5"/>
  <c r="BC2" i="5"/>
  <c r="BD2" i="5"/>
  <c r="AJ2" i="5"/>
  <c r="AK2" i="5"/>
  <c r="AM2" i="5"/>
  <c r="AN2" i="5"/>
  <c r="AO2" i="5"/>
  <c r="AP2" i="5"/>
  <c r="AQ2" i="5"/>
  <c r="B12" i="5"/>
  <c r="A43" i="6" s="1"/>
  <c r="B13" i="5"/>
  <c r="B14" i="5"/>
  <c r="A67" i="6" s="1"/>
  <c r="A91" i="6"/>
  <c r="B16" i="5"/>
  <c r="A103" i="6" s="1"/>
  <c r="B17" i="5"/>
  <c r="A79" i="6" s="1"/>
  <c r="B18" i="5"/>
  <c r="A31" i="6" s="1"/>
  <c r="B19" i="5"/>
  <c r="A115" i="6" s="1"/>
  <c r="B11" i="5"/>
  <c r="A19" i="6" s="1"/>
  <c r="V3" i="5"/>
  <c r="W3" i="5"/>
  <c r="X3" i="5"/>
  <c r="Y3" i="5"/>
  <c r="Z3" i="5"/>
  <c r="AA3" i="5"/>
  <c r="AB3" i="5"/>
  <c r="AC3" i="5"/>
  <c r="AD3" i="5"/>
  <c r="V4" i="5"/>
  <c r="W4" i="5"/>
  <c r="X4" i="5"/>
  <c r="Y4" i="5"/>
  <c r="Z4" i="5"/>
  <c r="AA4" i="5"/>
  <c r="AB4" i="5"/>
  <c r="AC4" i="5"/>
  <c r="AD4" i="5"/>
  <c r="V5" i="5"/>
  <c r="W5" i="5"/>
  <c r="X5" i="5"/>
  <c r="Y5" i="5"/>
  <c r="Z5" i="5"/>
  <c r="AA5" i="5"/>
  <c r="AB5" i="5"/>
  <c r="AC5" i="5"/>
  <c r="AD5" i="5"/>
  <c r="V6" i="5"/>
  <c r="W6" i="5"/>
  <c r="X6" i="5"/>
  <c r="Y6" i="5"/>
  <c r="Z6" i="5"/>
  <c r="AA6" i="5"/>
  <c r="AB6" i="5"/>
  <c r="AC6" i="5"/>
  <c r="AD6" i="5"/>
  <c r="V7" i="5"/>
  <c r="W7" i="5"/>
  <c r="X7" i="5"/>
  <c r="Y7" i="5"/>
  <c r="Z7" i="5"/>
  <c r="AA7" i="5"/>
  <c r="AB7" i="5"/>
  <c r="AC7" i="5"/>
  <c r="AD7" i="5"/>
  <c r="V8" i="5"/>
  <c r="W8" i="5"/>
  <c r="X8" i="5"/>
  <c r="Y8" i="5"/>
  <c r="Z8" i="5"/>
  <c r="AA8" i="5"/>
  <c r="AB8" i="5"/>
  <c r="AC8" i="5"/>
  <c r="AD8" i="5"/>
  <c r="V9" i="5"/>
  <c r="W9" i="5"/>
  <c r="X9" i="5"/>
  <c r="Y9" i="5"/>
  <c r="Z9" i="5"/>
  <c r="AA9" i="5"/>
  <c r="AB9" i="5"/>
  <c r="AC9" i="5"/>
  <c r="AD9" i="5"/>
  <c r="V10" i="5"/>
  <c r="W10" i="5"/>
  <c r="X10" i="5"/>
  <c r="Y10" i="5"/>
  <c r="Z10" i="5"/>
  <c r="AA10" i="5"/>
  <c r="AB10" i="5"/>
  <c r="AC10" i="5"/>
  <c r="AD10" i="5"/>
  <c r="V11" i="5"/>
  <c r="W11" i="5"/>
  <c r="X11" i="5"/>
  <c r="Y11" i="5"/>
  <c r="Z11" i="5"/>
  <c r="AA11" i="5"/>
  <c r="AB11" i="5"/>
  <c r="AC11" i="5"/>
  <c r="AD11" i="5"/>
  <c r="V12" i="5"/>
  <c r="W12" i="5"/>
  <c r="X12" i="5"/>
  <c r="Y12" i="5"/>
  <c r="Z12" i="5"/>
  <c r="AA12" i="5"/>
  <c r="AB12" i="5"/>
  <c r="AC12" i="5"/>
  <c r="AD12" i="5"/>
  <c r="V13" i="5"/>
  <c r="W13" i="5"/>
  <c r="X13" i="5"/>
  <c r="Y13" i="5"/>
  <c r="Z13" i="5"/>
  <c r="AA13" i="5"/>
  <c r="AB13" i="5"/>
  <c r="AC13" i="5"/>
  <c r="AD13" i="5"/>
  <c r="V14" i="5"/>
  <c r="W14" i="5"/>
  <c r="X14" i="5"/>
  <c r="Y14" i="5"/>
  <c r="Z14" i="5"/>
  <c r="AA14" i="5"/>
  <c r="AB14" i="5"/>
  <c r="AC14" i="5"/>
  <c r="AD14" i="5"/>
  <c r="V15" i="5"/>
  <c r="W15" i="5"/>
  <c r="X15" i="5"/>
  <c r="Y15" i="5"/>
  <c r="Z15" i="5"/>
  <c r="AA15" i="5"/>
  <c r="AB15" i="5"/>
  <c r="AC15" i="5"/>
  <c r="AD15" i="5"/>
  <c r="V16" i="5"/>
  <c r="W16" i="5"/>
  <c r="X16" i="5"/>
  <c r="Y16" i="5"/>
  <c r="Z16" i="5"/>
  <c r="AA16" i="5"/>
  <c r="AB16" i="5"/>
  <c r="AC16" i="5"/>
  <c r="AD16" i="5"/>
  <c r="V17" i="5"/>
  <c r="W17" i="5"/>
  <c r="X17" i="5"/>
  <c r="Y17" i="5"/>
  <c r="Z17" i="5"/>
  <c r="AA17" i="5"/>
  <c r="AB17" i="5"/>
  <c r="AC17" i="5"/>
  <c r="AD17" i="5"/>
  <c r="V18" i="5"/>
  <c r="W18" i="5"/>
  <c r="X18" i="5"/>
  <c r="Y18" i="5"/>
  <c r="Z18" i="5"/>
  <c r="AA18" i="5"/>
  <c r="AB18" i="5"/>
  <c r="AC18" i="5"/>
  <c r="AD18" i="5"/>
  <c r="V19" i="5"/>
  <c r="W19" i="5"/>
  <c r="X19" i="5"/>
  <c r="Y19" i="5"/>
  <c r="Z19" i="5"/>
  <c r="AA19" i="5"/>
  <c r="AB19" i="5"/>
  <c r="AC19" i="5"/>
  <c r="AD19" i="5"/>
  <c r="V20" i="5"/>
  <c r="W20" i="5"/>
  <c r="X20" i="5"/>
  <c r="Y20" i="5"/>
  <c r="Z20" i="5"/>
  <c r="AA20" i="5"/>
  <c r="AB20" i="5"/>
  <c r="AC20" i="5"/>
  <c r="AD20" i="5"/>
  <c r="V21" i="5"/>
  <c r="W21" i="5"/>
  <c r="X21" i="5"/>
  <c r="Y21" i="5"/>
  <c r="Z21" i="5"/>
  <c r="AA21" i="5"/>
  <c r="AB21" i="5"/>
  <c r="AC21" i="5"/>
  <c r="AD21" i="5"/>
  <c r="V22" i="5"/>
  <c r="W22" i="5"/>
  <c r="X22" i="5"/>
  <c r="Y22" i="5"/>
  <c r="Z22" i="5"/>
  <c r="AA22" i="5"/>
  <c r="AB22" i="5"/>
  <c r="AC22" i="5"/>
  <c r="AD22" i="5"/>
  <c r="V23" i="5"/>
  <c r="W23" i="5"/>
  <c r="X23" i="5"/>
  <c r="Y23" i="5"/>
  <c r="Z23" i="5"/>
  <c r="AA23" i="5"/>
  <c r="AB23" i="5"/>
  <c r="AC23" i="5"/>
  <c r="AD23" i="5"/>
  <c r="V24" i="5"/>
  <c r="W24" i="5"/>
  <c r="X24" i="5"/>
  <c r="Y24" i="5"/>
  <c r="Z24" i="5"/>
  <c r="AA24" i="5"/>
  <c r="AB24" i="5"/>
  <c r="AC24" i="5"/>
  <c r="AD24" i="5"/>
  <c r="W25" i="5"/>
  <c r="X25" i="5"/>
  <c r="Y25" i="5"/>
  <c r="Z25" i="5"/>
  <c r="AA25" i="5"/>
  <c r="AB25" i="5"/>
  <c r="AC25" i="5"/>
  <c r="AD25" i="5"/>
  <c r="W2" i="5"/>
  <c r="X2" i="5"/>
  <c r="Y2" i="5"/>
  <c r="Z2" i="5"/>
  <c r="AA2" i="5"/>
  <c r="AB2" i="5"/>
  <c r="AC2" i="5"/>
  <c r="AD2" i="5"/>
  <c r="V2" i="5"/>
  <c r="G2" i="5"/>
  <c r="H2" i="5"/>
  <c r="I2" i="5"/>
  <c r="J2" i="5"/>
  <c r="K2" i="5"/>
  <c r="L2" i="5"/>
  <c r="M2" i="5"/>
  <c r="N2" i="5"/>
  <c r="G3" i="5"/>
  <c r="H3" i="5"/>
  <c r="I3" i="5"/>
  <c r="J3" i="5"/>
  <c r="K3" i="5"/>
  <c r="L3" i="5"/>
  <c r="M3" i="5"/>
  <c r="N3" i="5"/>
  <c r="F3" i="5"/>
  <c r="F2" i="5"/>
  <c r="CJ4" i="5"/>
  <c r="CJ3" i="5"/>
  <c r="CJ2" i="5"/>
  <c r="DD14" i="5" l="1"/>
  <c r="DD13" i="5"/>
  <c r="AM7" i="13"/>
  <c r="C2" i="16"/>
  <c r="K2" i="16"/>
  <c r="J2" i="16"/>
  <c r="I2" i="16"/>
  <c r="AR14" i="13"/>
  <c r="H2" i="16"/>
  <c r="AQ7" i="13"/>
  <c r="G2" i="16"/>
  <c r="AP7" i="13"/>
  <c r="F2" i="16"/>
  <c r="AO7" i="13"/>
  <c r="E2" i="16"/>
  <c r="E13" i="16" s="1"/>
  <c r="AN7" i="13"/>
  <c r="D2" i="16"/>
  <c r="K9" i="16"/>
  <c r="K20" i="16" s="1"/>
  <c r="J9" i="16"/>
  <c r="J20" i="16" s="1"/>
  <c r="I9" i="16"/>
  <c r="I20" i="16" s="1"/>
  <c r="H9" i="16"/>
  <c r="AQ4" i="13"/>
  <c r="G9" i="16"/>
  <c r="G20" i="16" s="1"/>
  <c r="AP4" i="13"/>
  <c r="F9" i="16"/>
  <c r="F20" i="16" s="1"/>
  <c r="AO4" i="13"/>
  <c r="E9" i="16"/>
  <c r="E20" i="16" s="1"/>
  <c r="AN4" i="13"/>
  <c r="D9" i="16"/>
  <c r="D20" i="16" s="1"/>
  <c r="AM4" i="13"/>
  <c r="C9" i="16"/>
  <c r="K8" i="16"/>
  <c r="K19" i="16" s="1"/>
  <c r="J8" i="16"/>
  <c r="J19" i="16" s="1"/>
  <c r="I8" i="16"/>
  <c r="I19" i="16" s="1"/>
  <c r="H8" i="16"/>
  <c r="G8" i="16"/>
  <c r="G19" i="16" s="1"/>
  <c r="F8" i="16"/>
  <c r="F19" i="16" s="1"/>
  <c r="E8" i="16"/>
  <c r="D8" i="16"/>
  <c r="D19" i="16" s="1"/>
  <c r="C8" i="16"/>
  <c r="K7" i="16"/>
  <c r="K18" i="16" s="1"/>
  <c r="J7" i="16"/>
  <c r="J18" i="16" s="1"/>
  <c r="I7" i="16"/>
  <c r="AR12" i="13"/>
  <c r="H7" i="16"/>
  <c r="H18" i="16" s="1"/>
  <c r="AQ8" i="13"/>
  <c r="G7" i="16"/>
  <c r="G18" i="16" s="1"/>
  <c r="AP8" i="13"/>
  <c r="F7" i="16"/>
  <c r="F18" i="16" s="1"/>
  <c r="AO8" i="13"/>
  <c r="E7" i="16"/>
  <c r="E18" i="16" s="1"/>
  <c r="AN8" i="13"/>
  <c r="D7" i="16"/>
  <c r="D18" i="16" s="1"/>
  <c r="AM8" i="13"/>
  <c r="C7" i="16"/>
  <c r="K6" i="16"/>
  <c r="K17" i="16" s="1"/>
  <c r="J6" i="16"/>
  <c r="J17" i="16" s="1"/>
  <c r="I6" i="16"/>
  <c r="I17" i="16" s="1"/>
  <c r="H6" i="16"/>
  <c r="AQ9" i="13"/>
  <c r="G6" i="16"/>
  <c r="G17" i="16" s="1"/>
  <c r="AP9" i="13"/>
  <c r="F6" i="16"/>
  <c r="F17" i="16" s="1"/>
  <c r="AO9" i="13"/>
  <c r="E6" i="16"/>
  <c r="E17" i="16" s="1"/>
  <c r="AN9" i="13"/>
  <c r="D6" i="16"/>
  <c r="D17" i="16" s="1"/>
  <c r="AM9" i="13"/>
  <c r="C6" i="16"/>
  <c r="K5" i="16"/>
  <c r="K16" i="16" s="1"/>
  <c r="J5" i="16"/>
  <c r="J16" i="16" s="1"/>
  <c r="I5" i="16"/>
  <c r="I16" i="16" s="1"/>
  <c r="H5" i="16"/>
  <c r="G5" i="16"/>
  <c r="G16" i="16" s="1"/>
  <c r="F5" i="16"/>
  <c r="F16" i="16" s="1"/>
  <c r="E5" i="16"/>
  <c r="E16" i="16" s="1"/>
  <c r="D5" i="16"/>
  <c r="D16" i="16" s="1"/>
  <c r="C5" i="16"/>
  <c r="K4" i="16"/>
  <c r="K15" i="16" s="1"/>
  <c r="J4" i="16"/>
  <c r="J15" i="16" s="1"/>
  <c r="I4" i="16"/>
  <c r="I15" i="16" s="1"/>
  <c r="AR13" i="13"/>
  <c r="H4" i="16"/>
  <c r="AQ10" i="13"/>
  <c r="G4" i="16"/>
  <c r="AP10" i="13"/>
  <c r="F4" i="16"/>
  <c r="F15" i="16" s="1"/>
  <c r="AO10" i="13"/>
  <c r="E4" i="16"/>
  <c r="E15" i="16" s="1"/>
  <c r="AN10" i="13"/>
  <c r="D4" i="16"/>
  <c r="D15" i="16" s="1"/>
  <c r="AM10" i="13"/>
  <c r="C4" i="16"/>
  <c r="K3" i="16"/>
  <c r="K14" i="16" s="1"/>
  <c r="J3" i="16"/>
  <c r="I3" i="16"/>
  <c r="I14" i="16" s="1"/>
  <c r="AR15" i="13"/>
  <c r="H3" i="16"/>
  <c r="G3" i="16"/>
  <c r="G14" i="16" s="1"/>
  <c r="F3" i="16"/>
  <c r="F14" i="16" s="1"/>
  <c r="E3" i="16"/>
  <c r="E14" i="16" s="1"/>
  <c r="D3" i="16"/>
  <c r="D14" i="16" s="1"/>
  <c r="C3" i="16"/>
  <c r="AC30" i="5"/>
  <c r="Z30" i="5"/>
  <c r="Y30" i="5"/>
  <c r="X30" i="5"/>
  <c r="AA30" i="5"/>
  <c r="W30" i="5"/>
  <c r="AD30" i="5"/>
  <c r="AB30" i="5"/>
  <c r="AQ15" i="5"/>
  <c r="AP15" i="5"/>
  <c r="AO15" i="5"/>
  <c r="AN15" i="5"/>
  <c r="AM15" i="5"/>
  <c r="AK15" i="5"/>
  <c r="AJ15" i="5"/>
  <c r="V30" i="5"/>
  <c r="DC8" i="5"/>
  <c r="CB40" i="5"/>
  <c r="CD40" i="5"/>
  <c r="CF18" i="5"/>
  <c r="CF14" i="5"/>
  <c r="CF10" i="5"/>
  <c r="CF6" i="5"/>
  <c r="CF21" i="5"/>
  <c r="CF17" i="5"/>
  <c r="CF13" i="5"/>
  <c r="CF9" i="5"/>
  <c r="CF5" i="5"/>
  <c r="CF20" i="5"/>
  <c r="CF16" i="5"/>
  <c r="CF12" i="5"/>
  <c r="CF8" i="5"/>
  <c r="CF4" i="5"/>
  <c r="CF19" i="5"/>
  <c r="CF15" i="5"/>
  <c r="CF11" i="5"/>
  <c r="CF7" i="5"/>
  <c r="CF3" i="5"/>
  <c r="CC40" i="5"/>
  <c r="CF38" i="5"/>
  <c r="CF34" i="5"/>
  <c r="CF30" i="5"/>
  <c r="CF26" i="5"/>
  <c r="BO7" i="5"/>
  <c r="CF37" i="5"/>
  <c r="CF33" i="5"/>
  <c r="CF29" i="5"/>
  <c r="CF25" i="5"/>
  <c r="CF36" i="5"/>
  <c r="CF32" i="5"/>
  <c r="CF28" i="5"/>
  <c r="CF24" i="5"/>
  <c r="CE40" i="5"/>
  <c r="CF2" i="5"/>
  <c r="CF39" i="5"/>
  <c r="CF35" i="5"/>
  <c r="CF31" i="5"/>
  <c r="CF27" i="5"/>
  <c r="CF23" i="5"/>
  <c r="CF22" i="5"/>
  <c r="BN7" i="5"/>
  <c r="BQ7" i="5"/>
  <c r="BR2" i="5"/>
  <c r="BR6" i="5"/>
  <c r="BC10" i="5"/>
  <c r="BP7" i="5"/>
  <c r="BR5" i="5"/>
  <c r="BR4" i="5"/>
  <c r="BR3" i="5"/>
  <c r="BD10" i="5"/>
  <c r="BB10" i="5"/>
  <c r="BA10" i="5"/>
  <c r="BE2" i="5"/>
  <c r="BE9" i="5"/>
  <c r="BE8" i="5"/>
  <c r="BE7" i="5"/>
  <c r="BE6" i="5"/>
  <c r="BE5" i="5"/>
  <c r="BE4" i="5"/>
  <c r="BE3" i="5"/>
  <c r="AR10" i="5"/>
  <c r="AR9" i="5"/>
  <c r="AR8" i="5"/>
  <c r="AR2" i="5"/>
  <c r="AR7" i="5"/>
  <c r="AR14" i="5"/>
  <c r="AR6" i="5"/>
  <c r="AR13" i="5"/>
  <c r="AR5" i="5"/>
  <c r="AR12" i="5"/>
  <c r="AR4" i="5"/>
  <c r="AR11" i="5"/>
  <c r="AR3" i="5"/>
  <c r="B20" i="5"/>
  <c r="AE2" i="5"/>
  <c r="AE18" i="5"/>
  <c r="AE10" i="5"/>
  <c r="AE25" i="5"/>
  <c r="AE17" i="5"/>
  <c r="AE9" i="5"/>
  <c r="AE24" i="5"/>
  <c r="AE16" i="5"/>
  <c r="AE8" i="5"/>
  <c r="AE23" i="5"/>
  <c r="AE15" i="5"/>
  <c r="AE7" i="5"/>
  <c r="AE22" i="5"/>
  <c r="AE14" i="5"/>
  <c r="AE6" i="5"/>
  <c r="AE21" i="5"/>
  <c r="AE13" i="5"/>
  <c r="AE5" i="5"/>
  <c r="AE20" i="5"/>
  <c r="AE12" i="5"/>
  <c r="AE4" i="5"/>
  <c r="AE19" i="5"/>
  <c r="AE11" i="5"/>
  <c r="AE3" i="5"/>
  <c r="O2" i="5"/>
  <c r="M5" i="5"/>
  <c r="L5" i="5"/>
  <c r="K5" i="5"/>
  <c r="O3" i="5"/>
  <c r="N5" i="5"/>
  <c r="AE60" i="13"/>
  <c r="AD61" i="13"/>
  <c r="AC51" i="13"/>
  <c r="AB51" i="13"/>
  <c r="AA51" i="13"/>
  <c r="W60" i="13"/>
  <c r="V60" i="13"/>
  <c r="U60" i="13"/>
  <c r="T60" i="13"/>
  <c r="S60" i="13"/>
  <c r="O60" i="13"/>
  <c r="N60" i="13"/>
  <c r="M60" i="13"/>
  <c r="L60" i="13"/>
  <c r="K60" i="13"/>
  <c r="G60" i="13"/>
  <c r="F60" i="13"/>
  <c r="E60" i="13"/>
  <c r="D60" i="13"/>
  <c r="C60" i="13"/>
  <c r="AE49" i="13"/>
  <c r="AD50" i="13"/>
  <c r="AC40" i="13"/>
  <c r="AB40" i="13"/>
  <c r="AA40" i="13"/>
  <c r="W49" i="13"/>
  <c r="V49" i="13"/>
  <c r="U49" i="13"/>
  <c r="T49" i="13"/>
  <c r="S49" i="13"/>
  <c r="O49" i="13"/>
  <c r="N49" i="13"/>
  <c r="M49" i="13"/>
  <c r="L49" i="13"/>
  <c r="K49" i="13"/>
  <c r="G49" i="13"/>
  <c r="F49" i="13"/>
  <c r="E49" i="13"/>
  <c r="D49" i="13"/>
  <c r="C49" i="13"/>
  <c r="AE38" i="13"/>
  <c r="AD39" i="13"/>
  <c r="AC29" i="13"/>
  <c r="AB29" i="13"/>
  <c r="AA29" i="13"/>
  <c r="W38" i="13"/>
  <c r="V38" i="13"/>
  <c r="U38" i="13"/>
  <c r="T38" i="13"/>
  <c r="S38" i="13"/>
  <c r="O38" i="13"/>
  <c r="N38" i="13"/>
  <c r="M38" i="13"/>
  <c r="L38" i="13"/>
  <c r="K38" i="13"/>
  <c r="G38" i="13"/>
  <c r="F38" i="13"/>
  <c r="E38" i="13"/>
  <c r="D38" i="13"/>
  <c r="C38" i="13"/>
  <c r="AE27" i="13"/>
  <c r="AD28" i="13"/>
  <c r="AC18" i="13"/>
  <c r="AB18" i="13"/>
  <c r="AA18" i="13"/>
  <c r="W27" i="13"/>
  <c r="V27" i="13"/>
  <c r="U27" i="13"/>
  <c r="T27" i="13"/>
  <c r="S27" i="13"/>
  <c r="O27" i="13"/>
  <c r="N27" i="13"/>
  <c r="M27" i="13"/>
  <c r="L27" i="13"/>
  <c r="K27" i="13"/>
  <c r="G27" i="13"/>
  <c r="F27" i="13"/>
  <c r="E27" i="13"/>
  <c r="D27" i="13"/>
  <c r="C27" i="13"/>
  <c r="W18" i="13"/>
  <c r="V18" i="13"/>
  <c r="U18" i="13"/>
  <c r="T18" i="13"/>
  <c r="S18" i="13"/>
  <c r="G18" i="13"/>
  <c r="F18" i="13"/>
  <c r="E18" i="13"/>
  <c r="D18" i="13"/>
  <c r="C18" i="13"/>
  <c r="G8" i="13"/>
  <c r="F8" i="13"/>
  <c r="E8" i="13"/>
  <c r="D8" i="13"/>
  <c r="C8" i="13"/>
  <c r="G7" i="13"/>
  <c r="F7" i="13"/>
  <c r="E7" i="13"/>
  <c r="D7" i="13"/>
  <c r="C7" i="13"/>
  <c r="G6" i="13"/>
  <c r="F6" i="13"/>
  <c r="E6" i="13"/>
  <c r="D6" i="13"/>
  <c r="C6" i="13"/>
  <c r="O18" i="13"/>
  <c r="N18" i="13"/>
  <c r="M18" i="13"/>
  <c r="L18" i="13"/>
  <c r="K18" i="13"/>
  <c r="W8" i="13"/>
  <c r="V8" i="13"/>
  <c r="U8" i="13"/>
  <c r="T8" i="13"/>
  <c r="S8" i="13"/>
  <c r="W7" i="13"/>
  <c r="V7" i="13"/>
  <c r="U7" i="13"/>
  <c r="T7" i="13"/>
  <c r="S7" i="13"/>
  <c r="W6" i="13"/>
  <c r="V6" i="13"/>
  <c r="U6" i="13"/>
  <c r="T6" i="13"/>
  <c r="S6" i="13"/>
  <c r="K7" i="13"/>
  <c r="L7" i="13"/>
  <c r="M7" i="13"/>
  <c r="N7" i="13"/>
  <c r="O7" i="13"/>
  <c r="K8" i="13"/>
  <c r="L8" i="13"/>
  <c r="M8" i="13"/>
  <c r="N8" i="13"/>
  <c r="O8" i="13"/>
  <c r="O6" i="13"/>
  <c r="N6" i="13"/>
  <c r="M6" i="13"/>
  <c r="L6" i="13"/>
  <c r="K6" i="13"/>
  <c r="AC54" i="13"/>
  <c r="AB54" i="13"/>
  <c r="AA54" i="13"/>
  <c r="Z62" i="13"/>
  <c r="Z59" i="13"/>
  <c r="U63" i="13"/>
  <c r="T63" i="13"/>
  <c r="S63" i="13"/>
  <c r="R63" i="13"/>
  <c r="R60" i="13"/>
  <c r="M63" i="13"/>
  <c r="L63" i="13"/>
  <c r="K63" i="13"/>
  <c r="J63" i="13"/>
  <c r="J60" i="13"/>
  <c r="E63" i="13"/>
  <c r="D63" i="13"/>
  <c r="C63" i="13"/>
  <c r="B63" i="13"/>
  <c r="B60" i="13"/>
  <c r="AC43" i="13"/>
  <c r="AB43" i="13"/>
  <c r="AA43" i="13"/>
  <c r="Z51" i="13"/>
  <c r="Z48" i="13"/>
  <c r="U52" i="13"/>
  <c r="T52" i="13"/>
  <c r="S52" i="13"/>
  <c r="R52" i="13"/>
  <c r="R49" i="13"/>
  <c r="M52" i="13"/>
  <c r="L52" i="13"/>
  <c r="K52" i="13"/>
  <c r="J52" i="13"/>
  <c r="J49" i="13"/>
  <c r="E52" i="13"/>
  <c r="D52" i="13"/>
  <c r="C52" i="13"/>
  <c r="B52" i="13"/>
  <c r="B49" i="13"/>
  <c r="AC32" i="13"/>
  <c r="AB32" i="13"/>
  <c r="AA32" i="13"/>
  <c r="Z40" i="13"/>
  <c r="Z37" i="13"/>
  <c r="U41" i="13"/>
  <c r="T41" i="13"/>
  <c r="S41" i="13"/>
  <c r="R41" i="13"/>
  <c r="R38" i="13"/>
  <c r="M41" i="13"/>
  <c r="L41" i="13"/>
  <c r="K41" i="13"/>
  <c r="J41" i="13"/>
  <c r="J38" i="13"/>
  <c r="E41" i="13"/>
  <c r="D41" i="13"/>
  <c r="C41" i="13"/>
  <c r="B41" i="13"/>
  <c r="B38" i="13"/>
  <c r="AC21" i="13"/>
  <c r="AB21" i="13"/>
  <c r="AA21" i="13"/>
  <c r="Z29" i="13"/>
  <c r="U30" i="13"/>
  <c r="T30" i="13"/>
  <c r="S30" i="13"/>
  <c r="R30" i="13"/>
  <c r="M30" i="13"/>
  <c r="L30" i="13"/>
  <c r="K30" i="13"/>
  <c r="J30" i="13"/>
  <c r="Z26" i="13"/>
  <c r="R27" i="13"/>
  <c r="J27" i="13"/>
  <c r="E30" i="13"/>
  <c r="D30" i="13"/>
  <c r="C30" i="13"/>
  <c r="B30" i="13"/>
  <c r="B27" i="13"/>
  <c r="DD16" i="5" l="1"/>
  <c r="N6" i="16"/>
  <c r="N17" i="16" s="1"/>
  <c r="N5" i="16"/>
  <c r="N16" i="16" s="1"/>
  <c r="N9" i="16"/>
  <c r="N20" i="16" s="1"/>
  <c r="C14" i="16"/>
  <c r="N3" i="16"/>
  <c r="N14" i="16" s="1"/>
  <c r="N2" i="16"/>
  <c r="N13" i="16" s="1"/>
  <c r="C15" i="16"/>
  <c r="N4" i="16"/>
  <c r="N15" i="16" s="1"/>
  <c r="N7" i="16"/>
  <c r="N18" i="16" s="1"/>
  <c r="N8" i="16"/>
  <c r="N19" i="16" s="1"/>
  <c r="AM3" i="13"/>
  <c r="AN3" i="13"/>
  <c r="AQ3" i="13"/>
  <c r="AR2" i="13"/>
  <c r="AO3" i="13"/>
  <c r="AR3" i="13"/>
  <c r="AP3" i="13"/>
  <c r="L3" i="16"/>
  <c r="L14" i="16" s="1"/>
  <c r="H14" i="16"/>
  <c r="M3" i="16"/>
  <c r="J14" i="16"/>
  <c r="M4" i="16"/>
  <c r="G15" i="16"/>
  <c r="H15" i="16"/>
  <c r="L4" i="16"/>
  <c r="L15" i="16" s="1"/>
  <c r="M5" i="16"/>
  <c r="C16" i="16"/>
  <c r="L5" i="16"/>
  <c r="L16" i="16" s="1"/>
  <c r="H16" i="16"/>
  <c r="M6" i="16"/>
  <c r="C17" i="16"/>
  <c r="H17" i="16"/>
  <c r="L6" i="16"/>
  <c r="L17" i="16" s="1"/>
  <c r="M7" i="16"/>
  <c r="C18" i="16"/>
  <c r="L7" i="16"/>
  <c r="L18" i="16" s="1"/>
  <c r="I18" i="16"/>
  <c r="C19" i="16"/>
  <c r="M8" i="16"/>
  <c r="E10" i="16"/>
  <c r="E19" i="16"/>
  <c r="L8" i="16"/>
  <c r="L19" i="16" s="1"/>
  <c r="H19" i="16"/>
  <c r="M9" i="16"/>
  <c r="C20" i="16"/>
  <c r="H20" i="16"/>
  <c r="L9" i="16"/>
  <c r="L20" i="16" s="1"/>
  <c r="D13" i="16"/>
  <c r="D10" i="16"/>
  <c r="F13" i="16"/>
  <c r="F10" i="16"/>
  <c r="G10" i="16"/>
  <c r="G13" i="16"/>
  <c r="H10" i="16"/>
  <c r="H13" i="16"/>
  <c r="L2" i="16"/>
  <c r="I10" i="16"/>
  <c r="I13" i="16"/>
  <c r="J13" i="16"/>
  <c r="J10" i="16"/>
  <c r="K13" i="16"/>
  <c r="K10" i="16"/>
  <c r="M2" i="16"/>
  <c r="C10" i="16"/>
  <c r="C13" i="16"/>
  <c r="B32" i="13"/>
  <c r="B43" i="13"/>
  <c r="AE63" i="13"/>
  <c r="W63" i="13"/>
  <c r="O63" i="13"/>
  <c r="B65" i="13"/>
  <c r="G63" i="13"/>
  <c r="AE52" i="13"/>
  <c r="W52" i="13"/>
  <c r="O52" i="13"/>
  <c r="B54" i="13"/>
  <c r="G52" i="13"/>
  <c r="AE41" i="13"/>
  <c r="W41" i="13"/>
  <c r="O41" i="13"/>
  <c r="G41" i="13"/>
  <c r="AE30" i="13"/>
  <c r="W30" i="13"/>
  <c r="O30" i="13"/>
  <c r="G30" i="13"/>
  <c r="N10" i="16" l="1"/>
  <c r="M10" i="16"/>
  <c r="L13" i="16"/>
  <c r="L10" i="16"/>
  <c r="B33" i="13"/>
  <c r="B66" i="13"/>
  <c r="B44" i="13"/>
  <c r="B55" i="13"/>
  <c r="U21" i="13" l="1"/>
  <c r="T21" i="13"/>
  <c r="S21" i="13"/>
  <c r="R21" i="13"/>
  <c r="R18" i="13"/>
  <c r="M21" i="13"/>
  <c r="L21" i="13"/>
  <c r="K21" i="13"/>
  <c r="J21" i="13"/>
  <c r="J18" i="13"/>
  <c r="E21" i="13"/>
  <c r="D21" i="13"/>
  <c r="C21" i="13"/>
  <c r="B21" i="13"/>
  <c r="B18" i="13"/>
  <c r="U13" i="13"/>
  <c r="U12" i="13"/>
  <c r="U11" i="13"/>
  <c r="T13" i="13"/>
  <c r="T12" i="13"/>
  <c r="T11" i="13"/>
  <c r="S13" i="13"/>
  <c r="S12" i="13"/>
  <c r="S11" i="13"/>
  <c r="R13" i="13"/>
  <c r="R12" i="13"/>
  <c r="R11" i="13"/>
  <c r="R8" i="13"/>
  <c r="R7" i="13"/>
  <c r="R6" i="13"/>
  <c r="M13" i="13"/>
  <c r="M12" i="13"/>
  <c r="M11" i="13"/>
  <c r="L13" i="13"/>
  <c r="L12" i="13"/>
  <c r="L11" i="13"/>
  <c r="K13" i="13"/>
  <c r="K12" i="13"/>
  <c r="K11" i="13"/>
  <c r="J13" i="13"/>
  <c r="J12" i="13"/>
  <c r="J11" i="13"/>
  <c r="J8" i="13"/>
  <c r="J7" i="13"/>
  <c r="J6" i="13"/>
  <c r="E13" i="13"/>
  <c r="E12" i="13"/>
  <c r="E11" i="13"/>
  <c r="D13" i="13"/>
  <c r="D12" i="13"/>
  <c r="D11" i="13"/>
  <c r="C13" i="13"/>
  <c r="C12" i="13"/>
  <c r="C11" i="13"/>
  <c r="B13" i="13"/>
  <c r="B12" i="13"/>
  <c r="B11" i="13"/>
  <c r="B8" i="13"/>
  <c r="B7" i="13"/>
  <c r="B6" i="13"/>
  <c r="BH3" i="5"/>
  <c r="BH4" i="5"/>
  <c r="BH5" i="5"/>
  <c r="BH6" i="5"/>
  <c r="BH2" i="5"/>
  <c r="AU9" i="5"/>
  <c r="AU8" i="5"/>
  <c r="AU7" i="5"/>
  <c r="AU6" i="5"/>
  <c r="AU5" i="5"/>
  <c r="AU4" i="5"/>
  <c r="AU3" i="5"/>
  <c r="AU2" i="5"/>
  <c r="AH14" i="5"/>
  <c r="AH13" i="5"/>
  <c r="AH12" i="5"/>
  <c r="AH11" i="5"/>
  <c r="AH10" i="5"/>
  <c r="AH9" i="5"/>
  <c r="AH8" i="5"/>
  <c r="AH7" i="5"/>
  <c r="AH6" i="5"/>
  <c r="AH5" i="5"/>
  <c r="AH4" i="5"/>
  <c r="AH3" i="5"/>
  <c r="U24" i="5"/>
  <c r="U23" i="5"/>
  <c r="U22" i="5"/>
  <c r="U21" i="5"/>
  <c r="U20" i="5"/>
  <c r="U19" i="5"/>
  <c r="U18" i="5"/>
  <c r="U17" i="5"/>
  <c r="U16" i="5"/>
  <c r="U15" i="5"/>
  <c r="U14" i="5"/>
  <c r="U13" i="5"/>
  <c r="U12" i="5"/>
  <c r="U11" i="5"/>
  <c r="U10" i="5"/>
  <c r="U9" i="5"/>
  <c r="U8" i="5"/>
  <c r="U7" i="5"/>
  <c r="U6" i="5"/>
  <c r="U5" i="5"/>
  <c r="U4" i="5"/>
  <c r="U3" i="5"/>
  <c r="U2" i="5"/>
  <c r="B6" i="5"/>
  <c r="B5" i="5"/>
  <c r="B4" i="5"/>
  <c r="E3" i="5"/>
  <c r="B3" i="5"/>
  <c r="E2" i="5"/>
  <c r="B2" i="5"/>
  <c r="B8" i="5" l="1"/>
  <c r="B2" i="16"/>
  <c r="B3" i="16"/>
  <c r="B14" i="16" s="1"/>
  <c r="B4" i="16"/>
  <c r="B15" i="16" s="1"/>
  <c r="B5" i="16"/>
  <c r="B16" i="16" s="1"/>
  <c r="B6" i="16"/>
  <c r="B17" i="16" s="1"/>
  <c r="B7" i="16"/>
  <c r="B18" i="16" s="1"/>
  <c r="B8" i="16"/>
  <c r="B19" i="16" s="1"/>
  <c r="B9" i="16"/>
  <c r="B20" i="16" s="1"/>
  <c r="U30" i="5"/>
  <c r="G21" i="13"/>
  <c r="W21" i="13"/>
  <c r="O21" i="13"/>
  <c r="W13" i="13"/>
  <c r="W12" i="13"/>
  <c r="W11" i="13"/>
  <c r="G13" i="13"/>
  <c r="O13" i="13"/>
  <c r="O12" i="13"/>
  <c r="O11" i="13"/>
  <c r="G11" i="13"/>
  <c r="G12" i="13"/>
  <c r="B13" i="16" l="1"/>
  <c r="B10" i="16"/>
  <c r="CR3" i="5"/>
  <c r="CR4" i="5"/>
  <c r="CR5" i="5"/>
  <c r="CR2" i="5"/>
  <c r="CQ3" i="5"/>
  <c r="CQ4" i="5"/>
  <c r="CQ5" i="5"/>
  <c r="CQ2" i="5"/>
  <c r="CP2" i="5"/>
  <c r="CP3" i="5"/>
  <c r="CP4" i="5"/>
  <c r="CP5" i="5"/>
  <c r="CO3" i="5"/>
  <c r="CO4" i="5"/>
  <c r="CO5" i="5"/>
  <c r="CO2" i="5"/>
  <c r="CN3" i="5"/>
  <c r="CN4" i="5"/>
  <c r="CN5" i="5"/>
  <c r="CN2" i="5"/>
  <c r="CM3" i="5"/>
  <c r="CM4" i="5"/>
  <c r="CM5" i="5"/>
  <c r="CM2" i="5"/>
  <c r="CL3" i="5"/>
  <c r="CL4" i="5"/>
  <c r="CL5" i="5"/>
  <c r="CL2" i="5"/>
  <c r="CK5" i="5"/>
  <c r="CK4" i="5"/>
  <c r="CK3" i="5"/>
  <c r="CK2" i="5"/>
  <c r="CJ5" i="5"/>
  <c r="CJ6" i="5" s="1"/>
  <c r="CI3" i="5"/>
  <c r="CI4" i="5"/>
  <c r="CI5" i="5"/>
  <c r="CI2" i="5"/>
  <c r="CR6" i="5" l="1"/>
  <c r="CK6" i="5"/>
  <c r="CM6" i="5"/>
  <c r="CO6" i="5"/>
  <c r="CQ6" i="5"/>
  <c r="CL6" i="5"/>
  <c r="CN6" i="5"/>
  <c r="CP6" i="5"/>
  <c r="CI6" i="5"/>
  <c r="CS2" i="5"/>
  <c r="CS5" i="5"/>
  <c r="CS3" i="5"/>
  <c r="CS4" i="5"/>
  <c r="CT5" i="5"/>
  <c r="CT2" i="5"/>
  <c r="CT4" i="5"/>
  <c r="CT3" i="5"/>
  <c r="A55" i="6"/>
  <c r="E2" i="3"/>
  <c r="M2" i="3"/>
  <c r="B5" i="3"/>
  <c r="E22" i="3"/>
  <c r="E27" i="3"/>
  <c r="E21" i="3"/>
  <c r="E28" i="3"/>
  <c r="E26" i="3"/>
  <c r="E25" i="3"/>
  <c r="E24" i="3"/>
  <c r="E23" i="3"/>
  <c r="E20" i="3"/>
  <c r="E9" i="3"/>
  <c r="S15" i="3"/>
  <c r="S14" i="3"/>
  <c r="S13" i="3"/>
  <c r="S12" i="3"/>
  <c r="S11" i="3"/>
  <c r="R15" i="3"/>
  <c r="R14" i="3"/>
  <c r="R13" i="3"/>
  <c r="R12" i="3"/>
  <c r="R11" i="3"/>
  <c r="Q15" i="3"/>
  <c r="Q14" i="3"/>
  <c r="Q13" i="3"/>
  <c r="Q12" i="3"/>
  <c r="Q11" i="3"/>
  <c r="P15" i="3"/>
  <c r="P14" i="3"/>
  <c r="P13" i="3"/>
  <c r="P12" i="3"/>
  <c r="P11" i="3"/>
  <c r="O15" i="3"/>
  <c r="O14" i="3"/>
  <c r="O13" i="3"/>
  <c r="O12" i="3"/>
  <c r="O11" i="3"/>
  <c r="G9" i="3"/>
  <c r="M15" i="3"/>
  <c r="M12" i="3"/>
  <c r="M13" i="3"/>
  <c r="M14" i="3"/>
  <c r="M11" i="3"/>
  <c r="M7" i="3"/>
  <c r="M6" i="3"/>
  <c r="M5" i="3"/>
  <c r="M4" i="3"/>
  <c r="M3" i="3"/>
  <c r="G16" i="3"/>
  <c r="G15" i="3"/>
  <c r="G14" i="3"/>
  <c r="G13" i="3"/>
  <c r="G12" i="3"/>
  <c r="G11" i="3"/>
  <c r="G10" i="3"/>
  <c r="H16" i="3"/>
  <c r="H15" i="3"/>
  <c r="H14" i="3"/>
  <c r="H13" i="3"/>
  <c r="H12" i="3"/>
  <c r="H11" i="3"/>
  <c r="H10" i="3"/>
  <c r="H9" i="3"/>
  <c r="J16" i="3"/>
  <c r="J15" i="3"/>
  <c r="J14" i="3"/>
  <c r="J13" i="3"/>
  <c r="J12" i="3"/>
  <c r="J11" i="3"/>
  <c r="J10" i="3"/>
  <c r="J9" i="3"/>
  <c r="I16" i="3"/>
  <c r="I15" i="3"/>
  <c r="I14" i="3"/>
  <c r="I13" i="3"/>
  <c r="I12" i="3"/>
  <c r="I11" i="3"/>
  <c r="I10" i="3"/>
  <c r="I9" i="3"/>
  <c r="E10" i="3"/>
  <c r="E11" i="3"/>
  <c r="E12" i="3"/>
  <c r="E13" i="3"/>
  <c r="E14" i="3"/>
  <c r="E15" i="3"/>
  <c r="E16" i="3"/>
  <c r="P5" i="3"/>
  <c r="P4" i="3"/>
  <c r="P3" i="3"/>
  <c r="P2" i="3"/>
  <c r="E5" i="3"/>
  <c r="E4" i="3"/>
  <c r="E3" i="3"/>
  <c r="B4" i="3"/>
  <c r="B3" i="3"/>
  <c r="B2" i="3"/>
  <c r="CS6" i="5" l="1"/>
  <c r="CT6" i="5"/>
  <c r="H5" i="5"/>
  <c r="E6" i="3"/>
  <c r="BZ40" i="5"/>
  <c r="R16" i="3"/>
  <c r="AW10" i="5"/>
  <c r="AN2" i="13" s="1"/>
  <c r="BK7" i="5"/>
  <c r="BY40" i="5"/>
  <c r="S16" i="3"/>
  <c r="J5" i="5"/>
  <c r="J17" i="3"/>
  <c r="F13" i="3"/>
  <c r="E5" i="5"/>
  <c r="F10" i="3"/>
  <c r="A3" i="6"/>
  <c r="P16" i="3"/>
  <c r="AV10" i="5"/>
  <c r="AM2" i="13" s="1"/>
  <c r="B6" i="3"/>
  <c r="F12" i="3"/>
  <c r="N12" i="3"/>
  <c r="BJ7" i="5"/>
  <c r="G17" i="3"/>
  <c r="M16" i="3"/>
  <c r="F15" i="3"/>
  <c r="N13" i="3"/>
  <c r="I5" i="5"/>
  <c r="F14" i="3"/>
  <c r="M8" i="3"/>
  <c r="Q16" i="3"/>
  <c r="N14" i="3"/>
  <c r="BH7" i="5"/>
  <c r="AX10" i="5"/>
  <c r="AO2" i="13" s="1"/>
  <c r="BX40" i="5"/>
  <c r="BW40" i="5"/>
  <c r="AY10" i="5"/>
  <c r="AP2" i="13" s="1"/>
  <c r="E17" i="3"/>
  <c r="AH15" i="5"/>
  <c r="BV40" i="5"/>
  <c r="P6" i="3"/>
  <c r="G5" i="5"/>
  <c r="BL7" i="5"/>
  <c r="F9" i="3"/>
  <c r="AU10" i="5"/>
  <c r="BM7" i="5"/>
  <c r="I17" i="3"/>
  <c r="F5" i="5"/>
  <c r="F11" i="3"/>
  <c r="F16" i="3"/>
  <c r="O16" i="3"/>
  <c r="H17" i="3"/>
  <c r="BI7" i="5"/>
  <c r="CA40" i="5"/>
  <c r="N11" i="3"/>
  <c r="AZ10" i="5"/>
  <c r="AQ2" i="13" s="1"/>
  <c r="AS2" i="13" l="1"/>
  <c r="CE41" i="5"/>
  <c r="BQ8" i="5"/>
  <c r="BD11" i="5"/>
  <c r="AQ16" i="5"/>
  <c r="AD31" i="5"/>
  <c r="N6" i="5"/>
  <c r="N16" i="3"/>
  <c r="F17" i="3"/>
  <c r="DL40" i="5" l="1"/>
  <c r="DJ44" i="5"/>
  <c r="DM40" i="5"/>
  <c r="DK44" i="5"/>
  <c r="DJ2" i="5"/>
  <c r="DJ40" i="5" s="1"/>
  <c r="DO44" i="5" l="1"/>
  <c r="DQ40" i="5"/>
  <c r="DO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tc={D8F65405-6476-1C4C-918A-0A9C1BCD9482}</author>
    <author>tc={8E0E6030-FA27-404D-9D65-A67190BCB1ED}</author>
  </authors>
  <commentList>
    <comment ref="L4" authorId="0" shapeId="0" xr:uid="{D8F65405-6476-1C4C-918A-0A9C1BCD9482}">
      <text>
        <t>[Threaded comment]
Your version of Excel allows you to read this threaded comment; however, any edits to it will get removed if the file is opened in a newer version of Excel. Learn more: https://go.microsoft.com/fwlink/?linkid=870924
Comment:
    Use CTWWC year; Oct - Dec = Q1; Jan - March = Q2; April - June = Q3; July - Sept = Q4</t>
      </text>
    </comment>
    <comment ref="AG4" authorId="1" shapeId="0" xr:uid="{8E0E6030-FA27-404D-9D65-A67190BCB1ED}">
      <text>
        <t>[Threaded comment]
Your version of Excel allows you to read this threaded comment; however, any edits to it will get removed if the file is opened in a newer version of Excel. Learn more: https://go.microsoft.com/fwlink/?linkid=870924
Comment:
    Maybe IR is too refined and we should stick to SO. Some of these don’t fit in our SO outcomes per se and easier to categorize as national change vs demonstration area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Joanna Wakia</author>
  </authors>
  <commentList>
    <comment ref="AM7" authorId="0" shapeId="0" xr:uid="{B6D6C55F-7F86-4F07-A822-0B03DC5E620B}">
      <text>
        <r>
          <rPr>
            <b/>
            <sz val="9"/>
            <color indexed="81"/>
            <rFont val="Tahoma"/>
            <family val="2"/>
          </rPr>
          <t>Joanna Wakia:</t>
        </r>
        <r>
          <rPr>
            <sz val="9"/>
            <color indexed="81"/>
            <rFont val="Tahoma"/>
            <family val="2"/>
          </rPr>
          <t xml:space="preserve">
Need to add in workforce subset
</t>
        </r>
      </text>
    </comment>
  </commentList>
</comments>
</file>

<file path=xl/sharedStrings.xml><?xml version="1.0" encoding="utf-8"?>
<sst xmlns="http://schemas.openxmlformats.org/spreadsheetml/2006/main" count="1533" uniqueCount="413">
  <si>
    <t>Finalized?</t>
  </si>
  <si>
    <t>Level of influence</t>
  </si>
  <si>
    <t>FY19</t>
  </si>
  <si>
    <t>FY20</t>
  </si>
  <si>
    <t>FY21</t>
  </si>
  <si>
    <t>FY22</t>
  </si>
  <si>
    <t>FY23</t>
  </si>
  <si>
    <t>FY24</t>
  </si>
  <si>
    <t>Mental Models</t>
  </si>
  <si>
    <t>Policies</t>
  </si>
  <si>
    <t>Power Dynamics</t>
  </si>
  <si>
    <t>Practices</t>
  </si>
  <si>
    <t>Relationships&amp; Connections</t>
  </si>
  <si>
    <t>Resource Flows</t>
  </si>
  <si>
    <t>CTWWC Outcome Harvesting Database</t>
  </si>
  <si>
    <t>Description</t>
  </si>
  <si>
    <t xml:space="preserve">SMART outcomes that include the date, name of the social actor, change of behavior and location. These outcomes may be positive or negative. Only include outcomes that CTWWC has contributed to. </t>
  </si>
  <si>
    <t xml:space="preserve">Outcomes should be relevant to the CTWWC theory of change, but also provide sufficient detail to help determine to what degree the outcome is relevant for reporting, fundraising, using results, substantiating the outcome and linking outcomes to each other. </t>
  </si>
  <si>
    <t xml:space="preserve">Contribution describes specific activities that CTWWC did to contribute to this outcome alongside other actors (when relevant). This may be multiple activities and are likely to correspond to activities in work plans (DIPs) and reported as outputs in quarterly reports. Verifying details of CTWWC's contribution is also an important part of substantiation. </t>
  </si>
  <si>
    <t>The source document or event or person from which the information came, and the relevant date</t>
  </si>
  <si>
    <t>Shortened outcome statements will be used to visualize the analysis of the outcomes.</t>
  </si>
  <si>
    <t>Name of CTWWC team member who harvested the outcome</t>
  </si>
  <si>
    <t>Name of MEAL team member who submitted the outcome to this database</t>
  </si>
  <si>
    <t>MEAL team confirms when outcome is complete after ping-ponging and final . If removed add a reason in a comment and delete information in columnsK:W</t>
  </si>
  <si>
    <t xml:space="preserve">This is the CTWWC team that represents the outcome, defined as: Kenya, Guatemala, Moldova or ILE. </t>
  </si>
  <si>
    <t>This is required for calculating time needed to achieve behavior change</t>
  </si>
  <si>
    <t>Date the outcome occurred, by CTWWC year and quarter</t>
  </si>
  <si>
    <t xml:space="preserve">Each outcome will describe the behavior change of a social actor type. Note if there are multiple social actors, this may indicate two separate outcomes since each outcome should describe the behavior change of one social actor. </t>
  </si>
  <si>
    <t xml:space="preserve">Each outcome should primarily correspond with an area that supports CTWWC's tipping points. Many of these also relate to care system strengthening. </t>
  </si>
  <si>
    <t>Categorisation by location of social actor</t>
  </si>
  <si>
    <t>The CTWWC strategic objective, or cross-cutting IR, that best aligns with outcome</t>
  </si>
  <si>
    <t>Which geographical level will the behavior change affect?</t>
  </si>
  <si>
    <t>CTWWC outputs that contributed to change in outcome - up to 5 can be selected</t>
  </si>
  <si>
    <t xml:space="preserve">When possible, outcomes may be substantiated by external review of supporting documentation. Documentation should be filed on SharePoint, with the same document title listed in this column so that documents are clearly linked to the outcomes they support. </t>
  </si>
  <si>
    <t>MEAL team adds details to Miro board visual analysis, usually semi-annually</t>
  </si>
  <si>
    <t>Reported for CRS KPIs (1=partner capacity strengthening, 2=fund redirection, 3=policy influence)</t>
  </si>
  <si>
    <t>Substantiation (following guidelines) undertaken by external actor, usually every 2-3 yrs. Not all outcomes will be substantiated. The date here is when the outcomes was considered for substantiation.</t>
  </si>
  <si>
    <t xml:space="preserve">The contribution score during the first round of contribution scoring. </t>
  </si>
  <si>
    <t xml:space="preserve">If the contribution was re-scored a second time, provide the final level of contribution. </t>
  </si>
  <si>
    <t>Instructions</t>
  </si>
  <si>
    <t>In 1–2 sentences please specify when did who do what, and where, that potentially or actually represents progress towards safe, nurturing family care for institutionalized children or children at risk of child-family separation.​</t>
  </si>
  <si>
    <t>Please describe why the outcome represents progress towards fulfilling CTWWC’s theory of change. ​</t>
  </si>
  <si>
    <t xml:space="preserve">Describe how and when CTWWC activities or outputs influenced the outcome. What did you do that directly or indirectly, in a small to large way, intentionally or not contributed to the change? Include names of other actors/organizations who contributed to this outcome alongside CTWWC. </t>
  </si>
  <si>
    <t>Enter name of person or document who provided the information and date they did so.​</t>
  </si>
  <si>
    <t>Provide a one sentence sumarry of the outcome, with date and year in brackets at end</t>
  </si>
  <si>
    <t>Who reported this outcome</t>
  </si>
  <si>
    <t>Who collected the outcome from the harvestor to provide in this dB?</t>
  </si>
  <si>
    <t>Pick from drop down menu</t>
  </si>
  <si>
    <t>6 conditions dashboard column</t>
  </si>
  <si>
    <t>Enter data in format FYXXQX</t>
  </si>
  <si>
    <t xml:space="preserve">Write the file name(s) of evidence uploaded to SharePoint </t>
  </si>
  <si>
    <t>Pick the KPI from drop down menu</t>
  </si>
  <si>
    <t>Pick from drop down menu (Y3R = 2021, before Y5E = 2023)</t>
  </si>
  <si>
    <t xml:space="preserve">Which intermediate result area does the outcome best fit in? </t>
  </si>
  <si>
    <t>Outcome  #</t>
  </si>
  <si>
    <t>Positive or Negative Outcomes ​</t>
  </si>
  <si>
    <t>Relevance of the Outcome​</t>
  </si>
  <si>
    <t>CTWWC’s contribution to the Outcome​</t>
  </si>
  <si>
    <t>Sources​</t>
  </si>
  <si>
    <t>Outcomes (shortened)</t>
  </si>
  <si>
    <t>Harvester</t>
  </si>
  <si>
    <t>Submitter</t>
  </si>
  <si>
    <t>CTWWC Team</t>
  </si>
  <si>
    <t>Quarter of first contribution statement</t>
  </si>
  <si>
    <t>Date of outcome</t>
  </si>
  <si>
    <t xml:space="preserve"># of quarters between first contribution statement </t>
  </si>
  <si>
    <t>Outcome FY</t>
  </si>
  <si>
    <t>Type of Social Actor</t>
  </si>
  <si>
    <t>Type of behavior change</t>
  </si>
  <si>
    <t>Country/ Region/ Global</t>
  </si>
  <si>
    <t>The Six Conditions of Systems Change (WORK IN PROGRESS)</t>
  </si>
  <si>
    <t>Primary Strategic Objective</t>
  </si>
  <si>
    <t>Output contribution 1</t>
  </si>
  <si>
    <t>Output contribution 2</t>
  </si>
  <si>
    <t>Output contribution 3</t>
  </si>
  <si>
    <t>Output contribution 4</t>
  </si>
  <si>
    <t>Output contribution 5</t>
  </si>
  <si>
    <t>Evidence log</t>
  </si>
  <si>
    <t>Entered into visual analysis (Miro)</t>
  </si>
  <si>
    <t>Reported against CRS KPIs</t>
  </si>
  <si>
    <t xml:space="preserve">Considered for substantiation </t>
  </si>
  <si>
    <t>Substantiated outcomes</t>
  </si>
  <si>
    <t xml:space="preserve">Contribution Score (round 1) </t>
  </si>
  <si>
    <t xml:space="preserve">Contribution Score (round 2) </t>
  </si>
  <si>
    <t>IR</t>
  </si>
  <si>
    <t>Mari's tracking - sent to Carmen</t>
  </si>
  <si>
    <t>Notes and questions for follow up</t>
  </si>
  <si>
    <t>Yes</t>
  </si>
  <si>
    <t>ILE</t>
  </si>
  <si>
    <t>FY19Q2</t>
  </si>
  <si>
    <t>FY20Q1</t>
  </si>
  <si>
    <t>Global coalition/network/agency</t>
  </si>
  <si>
    <t>Legislation/policy</t>
  </si>
  <si>
    <t>Global</t>
  </si>
  <si>
    <t>SO3</t>
  </si>
  <si>
    <t>global</t>
  </si>
  <si>
    <t>ILE 5: FORUMS_NETS</t>
  </si>
  <si>
    <t>Drafted letter/brief</t>
  </si>
  <si>
    <t>FY20Q2</t>
  </si>
  <si>
    <t xml:space="preserve">ESA regional actor </t>
  </si>
  <si>
    <t>ESA</t>
  </si>
  <si>
    <t>regional</t>
  </si>
  <si>
    <t>Coordination</t>
  </si>
  <si>
    <t>Commitment</t>
  </si>
  <si>
    <t>Learn 1: PRODUCTS_DEV</t>
  </si>
  <si>
    <t>FY20Q3</t>
  </si>
  <si>
    <t xml:space="preserve">Other Faith-Based actor </t>
  </si>
  <si>
    <t>ILE 1: EVENTS_HOST_PRESENT</t>
  </si>
  <si>
    <t>Learn 3: ORGS_TA</t>
  </si>
  <si>
    <t>Kenya</t>
  </si>
  <si>
    <t>FY19Q1</t>
  </si>
  <si>
    <t>Residential Care actor in demonstration country</t>
  </si>
  <si>
    <t>Evidence/M&amp;E</t>
  </si>
  <si>
    <t>SO2</t>
  </si>
  <si>
    <t>subnational</t>
  </si>
  <si>
    <t>NO 2: awareness raising of govt &amp; non govt staff</t>
  </si>
  <si>
    <t xml:space="preserve">NO 3: govt &amp; non gov-t staff trained </t>
  </si>
  <si>
    <t>FY19Q3</t>
  </si>
  <si>
    <t xml:space="preserve">Government actor in demonstration country  </t>
  </si>
  <si>
    <t>SO1</t>
  </si>
  <si>
    <t>national</t>
  </si>
  <si>
    <t>NO 1: govt meeting(s)</t>
  </si>
  <si>
    <t>Coordination meetings - national</t>
  </si>
  <si>
    <t>FY19Q4</t>
  </si>
  <si>
    <t>FY20Q4</t>
  </si>
  <si>
    <t>Service Delivery</t>
  </si>
  <si>
    <t>NO 6: social service workers trained on CM</t>
  </si>
  <si>
    <t>Training - case management</t>
  </si>
  <si>
    <t>Financing</t>
  </si>
  <si>
    <t>LO 18: res. instituion staff in support sessions</t>
  </si>
  <si>
    <t>CCI sensitization</t>
  </si>
  <si>
    <t>LO 1: community awareness raising</t>
  </si>
  <si>
    <t>FY21Q1</t>
  </si>
  <si>
    <t>Social Norms</t>
  </si>
  <si>
    <t>LO 2: mass media</t>
  </si>
  <si>
    <t>Guatemala</t>
  </si>
  <si>
    <t xml:space="preserve">Civil Society actor in demonstration country </t>
  </si>
  <si>
    <t xml:space="preserve">NO 3: govt staff trained </t>
  </si>
  <si>
    <t>LO 17: people linked to institutions trained</t>
  </si>
  <si>
    <t>Workforce</t>
  </si>
  <si>
    <t>LO 5-LO 16</t>
  </si>
  <si>
    <t xml:space="preserve">Faith-Based actor in demonstration country </t>
  </si>
  <si>
    <t>India</t>
  </si>
  <si>
    <t>ILE 4: CHAMP_TRAIN</t>
  </si>
  <si>
    <t>Apply learning in other work/projects</t>
  </si>
  <si>
    <t>NO 8: budget reviews/invest. cases</t>
  </si>
  <si>
    <t>No</t>
  </si>
  <si>
    <t xml:space="preserve">NO 4: actors attend events/exchnages </t>
  </si>
  <si>
    <t xml:space="preserve">LAC regional actor </t>
  </si>
  <si>
    <t>LAC</t>
  </si>
  <si>
    <t>Hosted an event</t>
  </si>
  <si>
    <t>FY21Q2</t>
  </si>
  <si>
    <t>Other</t>
  </si>
  <si>
    <t>LO 3: gatekeeping training</t>
  </si>
  <si>
    <t>Local stakeholder sensitization</t>
  </si>
  <si>
    <t xml:space="preserve">Other Civil Society actor  </t>
  </si>
  <si>
    <t>Development of AFC SOPs</t>
  </si>
  <si>
    <t>Moldova</t>
  </si>
  <si>
    <t>FY21Q3</t>
  </si>
  <si>
    <t>Haiti</t>
  </si>
  <si>
    <t>FY21Q4</t>
  </si>
  <si>
    <t>Substantiated in 2023</t>
  </si>
  <si>
    <t>Substantiated via document Review in 2023</t>
  </si>
  <si>
    <t>FY22Q1</t>
  </si>
  <si>
    <t>FY22Q2</t>
  </si>
  <si>
    <t>ILE 9: FB_ORGS_PARTNERS</t>
  </si>
  <si>
    <t>NO 5: social service workers trained on guidelines</t>
  </si>
  <si>
    <t>Rewriting Suggested in 2023</t>
  </si>
  <si>
    <t>LO 4: gatekeeping mechanisms</t>
  </si>
  <si>
    <t>XC_PWLE</t>
  </si>
  <si>
    <t>PWLE 2: PWLE_INDIV_EVENTS</t>
  </si>
  <si>
    <t>PWLE 3: PWLE_TRAIN</t>
  </si>
  <si>
    <t>FY22Q3</t>
  </si>
  <si>
    <t>FY22Q4</t>
  </si>
  <si>
    <t>ILE 10: INDIV_TRAIN</t>
  </si>
  <si>
    <t>Not substantiated in 2023</t>
  </si>
  <si>
    <t>FY23Q1</t>
  </si>
  <si>
    <t>EE</t>
  </si>
  <si>
    <t xml:space="preserve">EE regional actor </t>
  </si>
  <si>
    <t>FY23Q2</t>
  </si>
  <si>
    <t>ILE 6: INDIV_EVENTS</t>
  </si>
  <si>
    <t>KPI 3</t>
  </si>
  <si>
    <t>XC_Learning</t>
  </si>
  <si>
    <t>FY23Q3</t>
  </si>
  <si>
    <t>FY23Q4</t>
  </si>
  <si>
    <t>FY24Q1</t>
  </si>
  <si>
    <t>FY24Q2</t>
  </si>
  <si>
    <t xml:space="preserve">NO 4: actors attend events/exchanges </t>
  </si>
  <si>
    <t>LO 15-LO16: RIs engaged fro transition/with transition plans</t>
  </si>
  <si>
    <t>NO 1b: working sessions on policy revision</t>
  </si>
  <si>
    <t>IR 2: Demonstration learning</t>
  </si>
  <si>
    <t>KPI 2</t>
  </si>
  <si>
    <t>PWLE 1: PWLE_CHAMP</t>
  </si>
  <si>
    <t>FY24Q3</t>
  </si>
  <si>
    <t>NO 7: social service workers trained on MIS</t>
  </si>
  <si>
    <t>FY24Q4</t>
  </si>
  <si>
    <t>NO20:local stakeholders trained on devt of awareness raising activities</t>
  </si>
  <si>
    <t>NO21: local stakeholders trained on devt of family support services</t>
  </si>
  <si>
    <t>FY25Q1</t>
  </si>
  <si>
    <t>ALL CTWWC Outcomes</t>
  </si>
  <si>
    <t>Government</t>
  </si>
  <si>
    <t>Care Facility</t>
  </si>
  <si>
    <t>ESA Region</t>
  </si>
  <si>
    <t>CSOs</t>
  </si>
  <si>
    <t>LAC Region</t>
  </si>
  <si>
    <t>Total # of outcomes</t>
  </si>
  <si>
    <t>Faith-based</t>
  </si>
  <si>
    <t>By TIPPING POINT CATEGORY</t>
  </si>
  <si>
    <t>QUAL CHECK</t>
  </si>
  <si>
    <t>By CONTRIBUTION TYPE</t>
  </si>
  <si>
    <t>SSA Region</t>
  </si>
  <si>
    <t>Non demo countries</t>
  </si>
  <si>
    <t>Event presentation</t>
  </si>
  <si>
    <t>Legislation/Policy</t>
  </si>
  <si>
    <t>Group member/chair</t>
  </si>
  <si>
    <t>Social norms &amp; practices</t>
  </si>
  <si>
    <t>;';</t>
  </si>
  <si>
    <t>BY CONTRIBUTION TYPE</t>
  </si>
  <si>
    <t>Training - case management &amp; AFC</t>
  </si>
  <si>
    <t>Development of CM SOPs</t>
  </si>
  <si>
    <t>Situation Analysis</t>
  </si>
  <si>
    <t>Family strengthening</t>
  </si>
  <si>
    <t>Initiative-wide</t>
  </si>
  <si>
    <t>Total outcomes</t>
  </si>
  <si>
    <t>CTWWC team</t>
  </si>
  <si>
    <t>All</t>
  </si>
  <si>
    <t>Social Actor Type</t>
  </si>
  <si>
    <t>Primary strategic objective</t>
  </si>
  <si>
    <t>Type</t>
  </si>
  <si>
    <t>Output indicator that describes contribution</t>
  </si>
  <si>
    <t>6 conditions subnational &amp; national</t>
  </si>
  <si>
    <t>The Six Conditions of Systems Change</t>
  </si>
  <si>
    <t>Subnational &amp; national</t>
  </si>
  <si>
    <t>Total</t>
  </si>
  <si>
    <t>6 conditions total</t>
  </si>
  <si>
    <t>time needed to achieve</t>
  </si>
  <si>
    <t>Q1</t>
  </si>
  <si>
    <t>0</t>
  </si>
  <si>
    <t>Q2</t>
  </si>
  <si>
    <t>New</t>
  </si>
  <si>
    <t>1</t>
  </si>
  <si>
    <t>Q3</t>
  </si>
  <si>
    <t>updated</t>
  </si>
  <si>
    <t>2</t>
  </si>
  <si>
    <t>Q4</t>
  </si>
  <si>
    <t>3</t>
  </si>
  <si>
    <t>4</t>
  </si>
  <si>
    <t>5</t>
  </si>
  <si>
    <t>If red, total doesn't add up to total finalized outcomes</t>
  </si>
  <si>
    <t>6</t>
  </si>
  <si>
    <t>If red, disags don't add up to total</t>
  </si>
  <si>
    <t>7</t>
  </si>
  <si>
    <t>CTWWC location</t>
  </si>
  <si>
    <t>8</t>
  </si>
  <si>
    <t>NO 8b: financing awareness raising for gov-t &amp; non gov-t staff</t>
  </si>
  <si>
    <t>This chart is linked to the chart above and is autopopulated. Needed for dashboard</t>
  </si>
  <si>
    <t>9</t>
  </si>
  <si>
    <t>NO19:champions trained within demo countries</t>
  </si>
  <si>
    <t>10</t>
  </si>
  <si>
    <t>Structural change (Explicit)</t>
  </si>
  <si>
    <t>11</t>
  </si>
  <si>
    <t>Relational Change (semi-explicit)</t>
  </si>
  <si>
    <t>12</t>
  </si>
  <si>
    <t>Retired</t>
  </si>
  <si>
    <t>Transformative change (implicit)</t>
  </si>
  <si>
    <t>13</t>
  </si>
  <si>
    <t>14</t>
  </si>
  <si>
    <t>15</t>
  </si>
  <si>
    <t>subnational change by years</t>
  </si>
  <si>
    <t>16</t>
  </si>
  <si>
    <t>national change by years</t>
  </si>
  <si>
    <t>FY25</t>
  </si>
  <si>
    <t>17</t>
  </si>
  <si>
    <t>18</t>
  </si>
  <si>
    <t>19</t>
  </si>
  <si>
    <t>20</t>
  </si>
  <si>
    <t>21</t>
  </si>
  <si>
    <t>22</t>
  </si>
  <si>
    <t>ILE 2: EVENTS_PRESENT</t>
  </si>
  <si>
    <t>23</t>
  </si>
  <si>
    <t>24</t>
  </si>
  <si>
    <t>FY25Q2</t>
  </si>
  <si>
    <t>25</t>
  </si>
  <si>
    <t>This chart is linked to 2 charts above and is autopopulated. Needed for dashboard</t>
  </si>
  <si>
    <t>FY25Q3</t>
  </si>
  <si>
    <t>26</t>
  </si>
  <si>
    <t>FY25Q4</t>
  </si>
  <si>
    <t>ILE 7: ORGS_GLOBAL</t>
  </si>
  <si>
    <t>27</t>
  </si>
  <si>
    <t>ILE 8: FB_INDIV_TRAIN</t>
  </si>
  <si>
    <t>28</t>
  </si>
  <si>
    <t>29</t>
  </si>
  <si>
    <t>30</t>
  </si>
  <si>
    <t>ILE 11: FB_INDIV_EVENTS</t>
  </si>
  <si>
    <t>up to 2 quarters</t>
  </si>
  <si>
    <t>3-4 quarters</t>
  </si>
  <si>
    <t>1-2 years</t>
  </si>
  <si>
    <t>more than 2 years</t>
  </si>
  <si>
    <t>Govt meetings</t>
  </si>
  <si>
    <t>Stakeholders supported</t>
  </si>
  <si>
    <t>Learning products</t>
  </si>
  <si>
    <t>Demo learning</t>
  </si>
  <si>
    <t>TA</t>
  </si>
  <si>
    <t xml:space="preserve">SSW trained </t>
  </si>
  <si>
    <t>Community awareness raising</t>
  </si>
  <si>
    <t>Gatekeeping training and mechanisms</t>
  </si>
  <si>
    <t>PWLE activities</t>
  </si>
  <si>
    <t>Reg&amp;Global actors supported</t>
  </si>
  <si>
    <t>External events</t>
  </si>
  <si>
    <t>Mass media campaigns</t>
  </si>
  <si>
    <t>Budgetary reviews</t>
  </si>
  <si>
    <t>Participation in forums &amp; groups</t>
  </si>
  <si>
    <t>local actors trained</t>
  </si>
  <si>
    <t>Results for all OH indicators - SO1 and SO3</t>
  </si>
  <si>
    <t xml:space="preserve">National outcome 1a: Progress towards implementation of Guidelines on the Alternative Care for Children - commitment, coordination, and legislation and policy </t>
  </si>
  <si>
    <t>LOI</t>
  </si>
  <si>
    <t>National outcome 2b: Declarations of funding redirected – financing</t>
  </si>
  <si>
    <t>ILE outcome 1: Declarations of funding redirected - financing</t>
  </si>
  <si>
    <t>Total LOI</t>
  </si>
  <si>
    <t>Total FY24</t>
  </si>
  <si>
    <t xml:space="preserve">ILE outcome 2: Change in care reform policies - legislation and policy </t>
  </si>
  <si>
    <t>ILE outcome 3: Change in public commitments to support family-based care - commitment</t>
  </si>
  <si>
    <t>ILE outcome 4: Change in sector coordination and collaboration - coordination</t>
  </si>
  <si>
    <t xml:space="preserve">The password for this database is below. It is password protected to prevent accidential editing and formatting changes. As a result, we ask that only the MEAL team use the password to edit this database. </t>
  </si>
  <si>
    <t xml:space="preserve">Password: </t>
  </si>
  <si>
    <t>outcome</t>
  </si>
  <si>
    <t>Output indicators</t>
  </si>
  <si>
    <t>CRS KPIs</t>
  </si>
  <si>
    <t>KPI 1</t>
  </si>
  <si>
    <t>Geographical level of infleunce</t>
  </si>
  <si>
    <t>Date</t>
  </si>
  <si>
    <t>Person</t>
  </si>
  <si>
    <t>Updated outputs. For more details see the chart on the right</t>
  </si>
  <si>
    <t>Sasha</t>
  </si>
  <si>
    <t>Old name</t>
  </si>
  <si>
    <t>FY24 name</t>
  </si>
  <si>
    <t>Added column Level of Influence to further replace SO column</t>
  </si>
  <si>
    <t>Replaced outputs with new output names for easier processing</t>
  </si>
  <si>
    <t>No before FY24</t>
  </si>
  <si>
    <t>NO 2: awareness raising of govt staff</t>
  </si>
  <si>
    <t>No for FY24</t>
  </si>
  <si>
    <t>LO 15-LO16</t>
  </si>
  <si>
    <t xml:space="preserve">LO 17: res. institution staff trained </t>
  </si>
  <si>
    <t>ILE 1: EVENTS_HOST</t>
  </si>
  <si>
    <t>ILE 4: INDIV_TRAIN</t>
  </si>
  <si>
    <t>ILE 5: ORGS_REGIONAL</t>
  </si>
  <si>
    <t>ILE 10: FB_INDIV_CB</t>
  </si>
  <si>
    <t>FB_CHAMP</t>
  </si>
  <si>
    <t>Learn 4: ORGS_TA</t>
  </si>
  <si>
    <t>PWLE network in demonstration country</t>
  </si>
  <si>
    <t>Other government</t>
  </si>
  <si>
    <t>Other Government</t>
  </si>
  <si>
    <t>Diameter</t>
  </si>
  <si>
    <r>
      <t>A = πR</t>
    </r>
    <r>
      <rPr>
        <vertAlign val="superscript"/>
        <sz val="12"/>
        <color rgb="FF000000"/>
        <rFont val="Arial"/>
        <family val="2"/>
      </rPr>
      <t>2</t>
    </r>
  </si>
  <si>
    <t>D=2SQR(A/π)</t>
  </si>
  <si>
    <t>Reg&amp;Glo</t>
  </si>
  <si>
    <t>National Outcome 1b</t>
  </si>
  <si>
    <r>
      <t xml:space="preserve">Description of change in care reform </t>
    </r>
    <r>
      <rPr>
        <b/>
        <sz val="10"/>
        <color rgb="FF000000"/>
        <rFont val="Aptos"/>
        <family val="2"/>
      </rPr>
      <t>policies, public commitments and coordination</t>
    </r>
  </si>
  <si>
    <t>National Outcome 2b</t>
  </si>
  <si>
    <r>
      <t xml:space="preserve">Description of declarations of </t>
    </r>
    <r>
      <rPr>
        <b/>
        <sz val="10"/>
        <color rgb="FF000000"/>
        <rFont val="Aptos"/>
        <family val="2"/>
      </rPr>
      <t>funding</t>
    </r>
    <r>
      <rPr>
        <sz val="10"/>
        <color rgb="FF000000"/>
        <rFont val="Aptos"/>
        <family val="2"/>
      </rPr>
      <t xml:space="preserve"> directed (away from institutions) toward support for family-based care</t>
    </r>
  </si>
  <si>
    <t>National Outcome 4</t>
  </si>
  <si>
    <r>
      <t xml:space="preserve">Description of changes made towards communities having </t>
    </r>
    <r>
      <rPr>
        <b/>
        <sz val="10"/>
        <color rgb="FF000000"/>
        <rFont val="Aptos"/>
        <family val="2"/>
      </rPr>
      <t>positive attitudes</t>
    </r>
    <r>
      <rPr>
        <sz val="10"/>
        <color rgb="FF000000"/>
        <rFont val="Aptos"/>
        <family val="2"/>
      </rPr>
      <t xml:space="preserve"> towards family-based care in a demonstration areas (formerly local outcome 4, Y1-5)</t>
    </r>
  </si>
  <si>
    <t>National Outcome 5</t>
  </si>
  <si>
    <r>
      <t xml:space="preserve">Description of change in availability of range of </t>
    </r>
    <r>
      <rPr>
        <b/>
        <sz val="10"/>
        <color rgb="FF000000"/>
        <rFont val="Aptos"/>
        <family val="2"/>
      </rPr>
      <t>support services</t>
    </r>
    <r>
      <rPr>
        <sz val="10"/>
        <color rgb="FF000000"/>
        <rFont val="Aptos"/>
        <family val="2"/>
      </rPr>
      <t xml:space="preserve"> in the demonstration area (formerly local outcome 5, Y1-5)</t>
    </r>
  </si>
  <si>
    <t>National Outcome 6</t>
  </si>
  <si>
    <r>
      <t xml:space="preserve">Description of changes in </t>
    </r>
    <r>
      <rPr>
        <b/>
        <sz val="10"/>
        <color rgb="FF000000"/>
        <rFont val="Aptos"/>
        <family val="2"/>
      </rPr>
      <t>residential care staff</t>
    </r>
    <r>
      <rPr>
        <sz val="10"/>
        <color rgb="FF000000"/>
        <rFont val="Aptos"/>
        <family val="2"/>
      </rPr>
      <t xml:space="preserve"> holding positive attitudes towards and gaining capacity in provision of family care and strengthening (formerly local outcome 19, Y1-5)</t>
    </r>
  </si>
  <si>
    <t>ILE outcome 1</t>
  </si>
  <si>
    <r>
      <t xml:space="preserve">Description of declarations of </t>
    </r>
    <r>
      <rPr>
        <b/>
        <sz val="10"/>
        <color rgb="FF000000"/>
        <rFont val="Aptos"/>
        <family val="2"/>
      </rPr>
      <t>funding</t>
    </r>
    <r>
      <rPr>
        <sz val="10"/>
        <color rgb="FF000000"/>
        <rFont val="Aptos"/>
        <family val="2"/>
      </rPr>
      <t xml:space="preserve"> directed towards support for family-based care</t>
    </r>
  </si>
  <si>
    <t>ILE outcome 2</t>
  </si>
  <si>
    <r>
      <t xml:space="preserve">Description of change in new/revised care reform </t>
    </r>
    <r>
      <rPr>
        <b/>
        <sz val="10"/>
        <color rgb="FF000000"/>
        <rFont val="Aptos"/>
        <family val="2"/>
      </rPr>
      <t>policies</t>
    </r>
    <r>
      <rPr>
        <sz val="10"/>
        <color rgb="FF000000"/>
        <rFont val="Aptos"/>
        <family val="2"/>
      </rPr>
      <t xml:space="preserve"> approved/in place</t>
    </r>
  </si>
  <si>
    <t>ILE outcome 3</t>
  </si>
  <si>
    <r>
      <t xml:space="preserve">Description of change in new public </t>
    </r>
    <r>
      <rPr>
        <b/>
        <sz val="10"/>
        <color rgb="FF000000"/>
        <rFont val="Aptos"/>
        <family val="2"/>
      </rPr>
      <t>commitments</t>
    </r>
    <r>
      <rPr>
        <sz val="10"/>
        <color rgb="FF000000"/>
        <rFont val="Aptos"/>
        <family val="2"/>
      </rPr>
      <t xml:space="preserve"> to support family-based care</t>
    </r>
  </si>
  <si>
    <t>ILE outcome 4</t>
  </si>
  <si>
    <r>
      <t xml:space="preserve">Description of change in sector </t>
    </r>
    <r>
      <rPr>
        <b/>
        <sz val="10"/>
        <color rgb="FF000000"/>
        <rFont val="Aptos"/>
        <family val="2"/>
      </rPr>
      <t>coordination</t>
    </r>
    <r>
      <rPr>
        <sz val="10"/>
        <color rgb="FF000000"/>
        <rFont val="Aptos"/>
        <family val="2"/>
      </rPr>
      <t xml:space="preserve"> and collaboration</t>
    </r>
  </si>
  <si>
    <t>GT</t>
  </si>
  <si>
    <t>KE</t>
  </si>
  <si>
    <t>MD</t>
  </si>
  <si>
    <t>Glo &amp;Reg</t>
  </si>
  <si>
    <r>
      <t xml:space="preserve">All harvested outcomes for regional and global locations and time period (annual or LOI) categorized for type of behavior as: </t>
    </r>
    <r>
      <rPr>
        <b/>
        <sz val="10"/>
        <color rgb="FF000000"/>
        <rFont val="Aptos"/>
        <family val="2"/>
      </rPr>
      <t>coordination</t>
    </r>
    <r>
      <rPr>
        <sz val="10"/>
        <color rgb="FF000000"/>
        <rFont val="Aptos"/>
        <family val="2"/>
      </rPr>
      <t>. This indicator aligns, in part, with the national outcome indicator 1b under SO1 which look at the same changes within the demonstration countries.</t>
    </r>
  </si>
  <si>
    <r>
      <t xml:space="preserve">All harvested outcomes for regional and global locations and time period (annual or LOI) categorized for type of behavior as: </t>
    </r>
    <r>
      <rPr>
        <b/>
        <sz val="10"/>
        <color rgb="FF000000"/>
        <rFont val="Aptos"/>
        <family val="2"/>
      </rPr>
      <t>commitment</t>
    </r>
    <r>
      <rPr>
        <sz val="10"/>
        <color rgb="FF000000"/>
        <rFont val="Aptos"/>
        <family val="2"/>
      </rPr>
      <t>. This indicator aligns, in part, with the national outcome indicator 1b under SO1 which look at the same changes within the demonstration countries.</t>
    </r>
  </si>
  <si>
    <r>
      <t xml:space="preserve">All harvested outcomes for regional and global locations and time period (annual or LOI) categorized for type of behavior as: </t>
    </r>
    <r>
      <rPr>
        <b/>
        <sz val="10"/>
        <color rgb="FF000000"/>
        <rFont val="Aptos"/>
        <family val="2"/>
      </rPr>
      <t>legislation/policy, plus services, evidence/M&amp;E and workforce. Services, evidence and workforce</t>
    </r>
    <r>
      <rPr>
        <sz val="10"/>
        <color rgb="FF000000"/>
        <rFont val="Aptos"/>
        <family val="2"/>
      </rPr>
      <t xml:space="preserve"> are included as indicators of policy implementation. This indicator aligns, in part, with the national outcome indicator 1b under SO1 which look at the same changes within the demonstration countries.</t>
    </r>
  </si>
  <si>
    <r>
      <t xml:space="preserve">All harvested outcomes for regional and global locations and time period (annual or LOI) categorized for type of behavior as: </t>
    </r>
    <r>
      <rPr>
        <b/>
        <sz val="10"/>
        <color rgb="FF000000"/>
        <rFont val="Aptos"/>
        <family val="2"/>
      </rPr>
      <t>financing</t>
    </r>
    <r>
      <rPr>
        <sz val="10"/>
        <color rgb="FF000000"/>
        <rFont val="Aptos"/>
        <family val="2"/>
      </rPr>
      <t>. This indicator aligns with the national outcome indicator 2b under SO1 which look at the same changes within the demonstration countries.</t>
    </r>
  </si>
  <si>
    <r>
      <t xml:space="preserve">All harvested outcomes for given location (demonstration countries) and time period (annual or LOI) categorized for type of behavior as: </t>
    </r>
    <r>
      <rPr>
        <b/>
        <sz val="10"/>
        <color rgb="FF000000"/>
        <rFont val="Aptos"/>
        <family val="2"/>
      </rPr>
      <t>workforce where the actor type is residential care provider</t>
    </r>
    <r>
      <rPr>
        <sz val="10"/>
        <color rgb="FF000000"/>
        <rFont val="Aptos"/>
        <family val="2"/>
      </rPr>
      <t>.This indicator aligns with the ILE outcome indicator 2 under SO3 which look at the same changes at a regional and global level.</t>
    </r>
  </si>
  <si>
    <r>
      <t xml:space="preserve">All harvested outcomes for given location (demonstration countries) and time period (annual or LOI) categorized for type of behavior as: </t>
    </r>
    <r>
      <rPr>
        <b/>
        <sz val="10"/>
        <color rgb="FF000000"/>
        <rFont val="Aptos"/>
        <family val="2"/>
      </rPr>
      <t>service delivery</t>
    </r>
    <r>
      <rPr>
        <sz val="10"/>
        <color rgb="FF000000"/>
        <rFont val="Aptos"/>
        <family val="2"/>
      </rPr>
      <t>. This indicator aligns with the ILE outcome indicator 2 under SO3 which look at the same changes at a regional and global level.</t>
    </r>
  </si>
  <si>
    <r>
      <t xml:space="preserve">All harvested outcomes for given location (demonstration countries) and time period (annual or LOI) categorized for type of behavior as: </t>
    </r>
    <r>
      <rPr>
        <b/>
        <sz val="10"/>
        <color rgb="FF000000"/>
        <rFont val="Aptos"/>
        <family val="2"/>
      </rPr>
      <t>social norms</t>
    </r>
    <r>
      <rPr>
        <sz val="10"/>
        <color rgb="FF000000"/>
        <rFont val="Aptos"/>
        <family val="2"/>
      </rPr>
      <t>. There is no equivalent SO3 indicator.</t>
    </r>
  </si>
  <si>
    <r>
      <t xml:space="preserve">All harvested outcomes for given location (demonstration countries) and time period (annual or LOI) categorized for type of behavior as: </t>
    </r>
    <r>
      <rPr>
        <b/>
        <sz val="10"/>
        <color rgb="FF000000"/>
        <rFont val="Aptos"/>
        <family val="2"/>
      </rPr>
      <t>financing</t>
    </r>
    <r>
      <rPr>
        <sz val="10"/>
        <color rgb="FF000000"/>
        <rFont val="Aptos"/>
        <family val="2"/>
      </rPr>
      <t>. This indicator aligns with the ILE outcome indicators 1 under SO3 which look at the same changes at a regional and global level.</t>
    </r>
  </si>
  <si>
    <r>
      <t xml:space="preserve">All harvested outcomes for given location (demonstration countries) and time period (annual or LOI) categorized for type of behavior as: </t>
    </r>
    <r>
      <rPr>
        <b/>
        <sz val="10"/>
        <color rgb="FF000000"/>
        <rFont val="Aptos"/>
        <family val="2"/>
      </rPr>
      <t>commitment, coordination, and legislation/policy, plus evidence/M&amp;E and workforce (apart from actor type being residential care provider). Evidence and workforce</t>
    </r>
    <r>
      <rPr>
        <sz val="10"/>
        <color rgb="FF000000"/>
        <rFont val="Aptos"/>
        <family val="2"/>
      </rPr>
      <t xml:space="preserve"> are included as indicators of policy implementation. This indicator aligns with the ILE outcome indicators 2-4 under SO3 which look at the same changes at a regional and global level.</t>
    </r>
  </si>
  <si>
    <t>LOA report, March 2025</t>
  </si>
  <si>
    <t>Workforce, just RCF</t>
  </si>
  <si>
    <t>Workforce, not RCF</t>
  </si>
  <si>
    <t>Check</t>
  </si>
  <si>
    <t>HT</t>
  </si>
  <si>
    <t>IN</t>
  </si>
  <si>
    <r>
      <t xml:space="preserve">CTWWC Moldova harvested </t>
    </r>
    <r>
      <rPr>
        <b/>
        <sz val="8"/>
        <color rgb="FF000000"/>
        <rFont val="Calibri"/>
        <family val="2"/>
      </rPr>
      <t>two</t>
    </r>
    <r>
      <rPr>
        <sz val="8"/>
        <color rgb="FF000000"/>
        <rFont val="Calibri"/>
        <family val="2"/>
      </rPr>
      <t xml:space="preserve"> outcomes reflecting changes in financing which occurred between FY23/Y5-FY24/Y6. These outcomes were local and national government changes in financing to support the workforce.</t>
    </r>
  </si>
  <si>
    <r>
      <t xml:space="preserve">CTWWC Guatemala harvested </t>
    </r>
    <r>
      <rPr>
        <b/>
        <sz val="8"/>
        <color rgb="FF000000"/>
        <rFont val="Calibri"/>
        <family val="2"/>
      </rPr>
      <t>forty-six</t>
    </r>
    <r>
      <rPr>
        <sz val="8"/>
        <color rgb="FF000000"/>
        <rFont val="Calibri"/>
        <family val="2"/>
      </rPr>
      <t xml:space="preserve"> outcomes reflecting changes in commitments, coordination and policy (including related changes to workforce), which occurred between FY19/Y1-FY25/Y7. These include: 17 changes in commitment and 14 in coordination many amongst senior government officials at the national and local level; 11 changes in policies both at the national level to guide practice in case management and foster care, and locally to establish Municipal Offices for Children and Adolescents; and 4 in workforce reflecting changes in training and case management practice.</t>
    </r>
  </si>
  <si>
    <r>
      <t xml:space="preserve">CTWWC Guatemala harvested </t>
    </r>
    <r>
      <rPr>
        <b/>
        <sz val="8"/>
        <color rgb="FF000000"/>
        <rFont val="Calibri"/>
        <family val="2"/>
      </rPr>
      <t>three</t>
    </r>
    <r>
      <rPr>
        <sz val="8"/>
        <color rgb="FF000000"/>
        <rFont val="Calibri"/>
        <family val="2"/>
      </rPr>
      <t xml:space="preserve"> outcomes on changes in social norms, which occurred between FY19/Y1-FY21/Y3. These included changes in thinking amongst government actors, the media and families to reflect common understanding of care reform and to view family care positively.</t>
    </r>
  </si>
  <si>
    <r>
      <t xml:space="preserve">CTWWC Kenya harvested </t>
    </r>
    <r>
      <rPr>
        <b/>
        <sz val="8"/>
        <color rgb="FF000000"/>
        <rFont val="Calibri"/>
        <family val="2"/>
      </rPr>
      <t>three</t>
    </r>
    <r>
      <rPr>
        <sz val="8"/>
        <color rgb="FF000000"/>
        <rFont val="Calibri"/>
        <family val="2"/>
      </rPr>
      <t xml:space="preserve"> outcomes on changes in social norms, which occurred between FY20/Y2-FY22/Y4. These included changes in abandonment of children and increased interest in foster care.</t>
    </r>
  </si>
  <si>
    <r>
      <t xml:space="preserve">CTWWC Guatemala harvested </t>
    </r>
    <r>
      <rPr>
        <b/>
        <sz val="8"/>
        <color rgb="FF000000"/>
        <rFont val="Calibri"/>
        <family val="2"/>
      </rPr>
      <t>sixteen</t>
    </r>
    <r>
      <rPr>
        <sz val="8"/>
        <color rgb="FF000000"/>
        <rFont val="Calibri"/>
        <family val="2"/>
      </rPr>
      <t xml:space="preserve"> outcomes reflecting changes in service delivery, which occurred between FY21/Y4-FY24/Y6. These included changes in adoption, case management, psychosocial care, and positive parenting through the creation of new departments or commissions, implementation of new methodologies, and transition of residential care providers to new family strengthening service models.</t>
    </r>
  </si>
  <si>
    <r>
      <t xml:space="preserve">CTWWC Moldova harvested </t>
    </r>
    <r>
      <rPr>
        <b/>
        <sz val="8"/>
        <color rgb="FF000000"/>
        <rFont val="Calibri"/>
        <family val="2"/>
      </rPr>
      <t>fourteen</t>
    </r>
    <r>
      <rPr>
        <sz val="8"/>
        <color rgb="FF000000"/>
        <rFont val="Calibri"/>
        <family val="2"/>
      </rPr>
      <t xml:space="preserve"> outcomes reflecting changes in service delivery, which occurred between FY21/Y3-FY24/Y6. These included improvements in child assessments and case management within residential  care, increases in reintegration and follow-on support to families, closure of residential care facilities, improvements to foster care services, and creation of a network and support groups for people with lived experience of care. </t>
    </r>
  </si>
  <si>
    <t>No outcomes were harvested on changes in workforce in residential care in Guatemala, although the transition of residential  care providers implies changes in this part of the workforce.</t>
  </si>
  <si>
    <t>No outcomes were harvested on changes in workforce in residential care in Moldova, although the transition of residential  care providers implies changes in this part of the workforce.</t>
  </si>
  <si>
    <r>
      <t xml:space="preserve">CTWWC Kenya harvested </t>
    </r>
    <r>
      <rPr>
        <b/>
        <sz val="8"/>
        <color rgb="FF000000"/>
        <rFont val="Calibri"/>
        <family val="2"/>
      </rPr>
      <t>seventy-nine</t>
    </r>
    <r>
      <rPr>
        <sz val="8"/>
        <color rgb="FF000000"/>
        <rFont val="Calibri"/>
        <family val="2"/>
      </rPr>
      <t xml:space="preserve"> outcomes reflecting changes in commitments, coordination and policy (including related changes to M&amp;E and workforce), which occurred between FY19/Y1-FY25/Y7. These include: 49 changes in commitment and 9 in coordination from a range of actors amongst national and local government, faith leaders, residential care managers and donors, and NGOs; 8 changes in policies including a new national Children's Act, National Care Reform Strategy, and multiple SOPs and regulations, as well as local legislation for children and people with disabilities; 9 in M&amp;E on new data collection exercises and improvements to CPIMS; and 4 in workforce training including an improvement to a certified course at the Kenya School of Government.</t>
    </r>
  </si>
  <si>
    <r>
      <t xml:space="preserve">CTWWC Moldova harvested </t>
    </r>
    <r>
      <rPr>
        <b/>
        <sz val="8"/>
        <color rgb="FF000000"/>
        <rFont val="Calibri"/>
        <family val="2"/>
      </rPr>
      <t>seventy-one</t>
    </r>
    <r>
      <rPr>
        <sz val="8"/>
        <color rgb="FF000000"/>
        <rFont val="Calibri"/>
        <family val="2"/>
      </rPr>
      <t xml:space="preserve"> outcomes reflecting changes in commitments, coordination and policy (including related changes to M&amp;E and workforce), which occurred between FY21/Y3-FY25/Y7. These included: 30 changes in commitment and 13 in coordination reflecting growing agreement in varied government agencies, nationally and locally, on the need for care reform and a commitment to joint action; 14 policy changes including a new National Child Protection Program and linked regulations, approaches, commissions and intersectoral working groups; 6 changes in M&amp;E reflecting an increased demand and use from government and others for accurate data; and 8 changes workforce  reflecting national decisions on key workforce positions and local administration gaining new understanding and  becoming more involved in reintegration and foster care.</t>
    </r>
  </si>
  <si>
    <r>
      <t xml:space="preserve">CTWWC Guatemala harvested </t>
    </r>
    <r>
      <rPr>
        <b/>
        <sz val="8"/>
        <color rgb="FF000000"/>
        <rFont val="Calibri"/>
        <family val="2"/>
      </rPr>
      <t>seven</t>
    </r>
    <r>
      <rPr>
        <sz val="8"/>
        <color rgb="FF000000"/>
        <rFont val="Calibri"/>
        <family val="2"/>
      </rPr>
      <t xml:space="preserve"> outcomes on changes in financing, which occurred between FY20/Y2-FY25/Y7. These included 4 outcomes on municipalities allocating finances to Municipal Offices for Children and Adolescents (totaling more than 330,000 GTQ). Other outcomes included national government investments in training and foster care and resources mobilization of a network of people with lived experience.</t>
    </r>
  </si>
  <si>
    <r>
      <t xml:space="preserve">CTWWC Kenya harvested </t>
    </r>
    <r>
      <rPr>
        <b/>
        <sz val="8"/>
        <color rgb="FF000000"/>
        <rFont val="Calibri"/>
        <family val="2"/>
      </rPr>
      <t>seventeen</t>
    </r>
    <r>
      <rPr>
        <sz val="8"/>
        <color rgb="FF000000"/>
        <rFont val="Calibri"/>
        <family val="2"/>
      </rPr>
      <t xml:space="preserve"> outcomes reflecting changes in financing which occurred between FY20/Y2-FY24/Y6. These ranged from local community groups and local government representatives supporting families and groups, to redirection of resources by donors to residential care and local government investment in services.</t>
    </r>
  </si>
  <si>
    <r>
      <t xml:space="preserve">CTWWC Moldova harvested </t>
    </r>
    <r>
      <rPr>
        <b/>
        <sz val="8"/>
        <color rgb="FF000000"/>
        <rFont val="Calibri"/>
        <family val="2"/>
      </rPr>
      <t>three</t>
    </r>
    <r>
      <rPr>
        <sz val="8"/>
        <color rgb="FF000000"/>
        <rFont val="Calibri"/>
        <family val="2"/>
      </rPr>
      <t xml:space="preserve"> outcomes on changes in social norms, which occurred between FY21/Y3-FY24/Y6. These included  local changes amongst professionals and families in attitudes and actions around alternative family-based care and children with disabilities.</t>
    </r>
  </si>
  <si>
    <r>
      <t xml:space="preserve">CTWWC Kenya harvested </t>
    </r>
    <r>
      <rPr>
        <b/>
        <sz val="8"/>
        <color rgb="FF000000"/>
        <rFont val="Calibri"/>
        <family val="2"/>
      </rPr>
      <t>forty-three</t>
    </r>
    <r>
      <rPr>
        <sz val="8"/>
        <color rgb="FF000000"/>
        <rFont val="Calibri"/>
        <family val="2"/>
      </rPr>
      <t xml:space="preserve"> outcomes reflecting changes in service delivery, which occurred between FY20/Y2-FY25/Y7. These included 26 examples of residential care facilities beginning to use case management, stopping admissions, supporting the reintegration of children with their families and shifting their service model. Other outcomes reflected local changes in or creation of new support groups and services for families. </t>
    </r>
  </si>
  <si>
    <r>
      <t xml:space="preserve">CTWWC Kenya harvested </t>
    </r>
    <r>
      <rPr>
        <b/>
        <sz val="8"/>
        <color rgb="FF000000"/>
        <rFont val="Calibri"/>
        <family val="2"/>
      </rPr>
      <t>three</t>
    </r>
    <r>
      <rPr>
        <sz val="8"/>
        <color rgb="FF000000"/>
        <rFont val="Calibri"/>
        <family val="2"/>
      </rPr>
      <t xml:space="preserve"> outcomes reflecting changes in workforce capacity within residential care, which occurred between FY22/Y4-FY24/Y6. These were in relation to changes in staffing structure and training to support the transitioning of residential care providers.</t>
    </r>
  </si>
  <si>
    <r>
      <t xml:space="preserve">CTWWC harvested </t>
    </r>
    <r>
      <rPr>
        <b/>
        <sz val="8"/>
        <color rgb="FF000000"/>
        <rFont val="Calibri"/>
        <family val="2"/>
      </rPr>
      <t>two</t>
    </r>
    <r>
      <rPr>
        <sz val="8"/>
        <color rgb="FF000000"/>
        <rFont val="Calibri"/>
        <family val="2"/>
      </rPr>
      <t xml:space="preserve"> outcomes on changes in financing, both occurring in FY23/Y5 - one at the global level and one in Latin America. Both reflect new financing allocated to care reform efforts.</t>
    </r>
  </si>
  <si>
    <r>
      <t xml:space="preserve">CTWWC harvested </t>
    </r>
    <r>
      <rPr>
        <b/>
        <sz val="8"/>
        <color rgb="FF000000"/>
        <rFont val="Calibri"/>
        <family val="2"/>
      </rPr>
      <t>twenty-eight</t>
    </r>
    <r>
      <rPr>
        <sz val="8"/>
        <color rgb="FF000000"/>
        <rFont val="Calibri"/>
        <family val="2"/>
      </rPr>
      <t xml:space="preserve"> outcomes on direct changes in policies, and the implementation of policies through changes in services, workforce and M&amp;E in all three regions and globally, which occurred between FY19/Y1-FY25/Y7.  The 7 policy changes included adjustments to guidance, strategies, action plans and manuals at the UN and ACERWC and in Panama and Ukraine. The 7 changes in services included uptake of case management and closure of residential care facilities in Peru, safeguarding and disability inclusion in Zambia and ending orphanage volunteering across CRS globally. The 7 workforce changes all included new trainings building CTWWC materials on reintegration, case management, transitioning residential care, disability and child participation in Burkina Faso, Nicaragua, Peru, Ukraine and Zambia. The 7 M&amp;E changes included actors sharing and using CTWWC materials in China, Hungary, Ukraine, Latin America and globally.</t>
    </r>
  </si>
  <si>
    <r>
      <t xml:space="preserve">CTWWC harvested </t>
    </r>
    <r>
      <rPr>
        <b/>
        <sz val="8"/>
        <color rgb="FF000000"/>
        <rFont val="Calibri"/>
        <family val="2"/>
      </rPr>
      <t>thirty-nine</t>
    </r>
    <r>
      <rPr>
        <sz val="8"/>
        <color rgb="FF000000"/>
        <rFont val="Calibri"/>
        <family val="2"/>
      </rPr>
      <t xml:space="preserve"> outcomes on commitments which occurred between FY20/Y2-FY24/Y6. These included public statements (verbal and written) in support of care reform from governments, civil society and faith-based actors and regional and global agencies covering moves towards closing residential care facilities, changing funding, highlighting good practices in case management and positive parenting, safeguarding, the response to COVID-19 pandemic in countries such as Cambodia, Colombia, Ethiopia, Honduras, Mexico, Nepal, Peru, Uganda, Ukraine, US and Zambia, as well as regionally in Latin America and Africa and globally.</t>
    </r>
  </si>
  <si>
    <r>
      <t xml:space="preserve">CTWWC harvested </t>
    </r>
    <r>
      <rPr>
        <b/>
        <sz val="8"/>
        <color rgb="FF000000"/>
        <rFont val="Calibri"/>
        <family val="2"/>
      </rPr>
      <t>twenty-six</t>
    </r>
    <r>
      <rPr>
        <sz val="8"/>
        <color rgb="FF000000"/>
        <rFont val="Calibri"/>
        <family val="2"/>
      </rPr>
      <t xml:space="preserve"> outcomes on coordination which occurred between FY20/Y2-FY24/Y6. These included 14 examples of global coordination, especially amongst civil society, to promote transition of residential care facilities and wider care reform and in response to the COVID-19 pandemic. Regional coordination examples include starting working groups, new convening and collective approaches to care reform efforts.</t>
    </r>
  </si>
  <si>
    <t>G, K,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</si>
</sst>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9"/>
      <color rgb="FF000000"/>
      <name val="Calibri"/>
      <family val="2"/>
      <scheme val="minor"/>
    </font>
    <font>
      <sz val="11"/>
      <color rgb="FF006100"/>
      <name val="Calibri"/>
      <family val="2"/>
      <scheme val="minor"/>
    </font>
    <font>
      <b/>
      <sz val="16"/>
      <color theme="0"/>
      <name val="Calibri"/>
      <family val="2"/>
      <scheme val="minor"/>
    </font>
    <font>
      <sz val="12"/>
      <color rgb="FFFF0000"/>
      <name val="Calibri"/>
      <family val="2"/>
      <scheme val="minor"/>
    </font>
    <font>
      <b/>
      <sz val="14"/>
      <color rgb="FFFF0000"/>
      <name val="Calibri"/>
      <family val="2"/>
      <scheme val="minor"/>
    </font>
    <font>
      <b/>
      <i/>
      <sz val="12"/>
      <color theme="5"/>
      <name val="Calibri"/>
      <family val="2"/>
      <scheme val="minor"/>
    </font>
    <font>
      <sz val="12"/>
      <color rgb="FF00000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color theme="4"/>
      <name val="Calibri"/>
      <family val="2"/>
      <scheme val="minor"/>
    </font>
    <font>
      <sz val="11"/>
      <color theme="4"/>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9"/>
      <color indexed="81"/>
      <name val="Tahoma"/>
      <family val="2"/>
    </font>
    <font>
      <b/>
      <sz val="16"/>
      <name val="Calibri"/>
      <family val="2"/>
      <scheme val="minor"/>
    </font>
    <font>
      <sz val="12"/>
      <name val="Calibri"/>
      <family val="2"/>
      <scheme val="minor"/>
    </font>
    <font>
      <sz val="11"/>
      <color theme="9" tint="-0.499984740745262"/>
      <name val="Calibri"/>
      <family val="2"/>
      <scheme val="minor"/>
    </font>
    <font>
      <sz val="8"/>
      <color rgb="FFFF0000"/>
      <name val="Calibri"/>
      <family val="2"/>
      <scheme val="minor"/>
    </font>
    <font>
      <i/>
      <sz val="9"/>
      <color rgb="FFFF0000"/>
      <name val="Calibri"/>
      <family val="2"/>
      <scheme val="minor"/>
    </font>
    <font>
      <b/>
      <sz val="9"/>
      <color rgb="FF000000"/>
      <name val="Calibri"/>
      <family val="2"/>
      <scheme val="minor"/>
    </font>
    <font>
      <sz val="9"/>
      <name val="Calibri"/>
      <family val="2"/>
      <scheme val="minor"/>
    </font>
    <font>
      <u/>
      <sz val="9"/>
      <color rgb="FF0563C1"/>
      <name val="Calibri"/>
      <family val="2"/>
      <scheme val="minor"/>
    </font>
    <font>
      <b/>
      <sz val="12"/>
      <color theme="1"/>
      <name val="Calibri"/>
      <family val="2"/>
      <charset val="204"/>
      <scheme val="minor"/>
    </font>
    <font>
      <b/>
      <sz val="14"/>
      <color theme="0"/>
      <name val="Calibri"/>
      <family val="2"/>
      <scheme val="minor"/>
    </font>
    <font>
      <sz val="14"/>
      <color theme="0"/>
      <name val="Calibri"/>
      <family val="2"/>
      <scheme val="minor"/>
    </font>
    <font>
      <b/>
      <sz val="16"/>
      <color rgb="FF00B0F0"/>
      <name val="Calibri"/>
      <family val="2"/>
      <scheme val="minor"/>
    </font>
    <font>
      <sz val="16"/>
      <color theme="1"/>
      <name val="Calibri"/>
      <family val="2"/>
      <scheme val="minor"/>
    </font>
    <font>
      <i/>
      <sz val="11"/>
      <color theme="1"/>
      <name val="Calibri"/>
      <family val="2"/>
      <charset val="204"/>
      <scheme val="minor"/>
    </font>
    <font>
      <sz val="9"/>
      <color indexed="81"/>
      <name val="Tahoma"/>
      <family val="2"/>
    </font>
    <font>
      <b/>
      <sz val="12"/>
      <color rgb="FF000000"/>
      <name val="Calibri"/>
      <family val="2"/>
      <charset val="204"/>
      <scheme val="minor"/>
    </font>
    <font>
      <b/>
      <sz val="14"/>
      <color theme="0"/>
      <name val="Calibri"/>
      <family val="2"/>
      <charset val="204"/>
      <scheme val="minor"/>
    </font>
    <font>
      <b/>
      <sz val="11"/>
      <color theme="1"/>
      <name val="Calibri"/>
      <family val="2"/>
      <charset val="204"/>
      <scheme val="minor"/>
    </font>
    <font>
      <b/>
      <i/>
      <sz val="9"/>
      <color rgb="FFFF0000"/>
      <name val="Calibri"/>
      <family val="2"/>
      <charset val="204"/>
      <scheme val="minor"/>
    </font>
    <font>
      <b/>
      <sz val="12"/>
      <color theme="0"/>
      <name val="Calibri"/>
      <family val="2"/>
      <scheme val="minor"/>
    </font>
    <font>
      <b/>
      <sz val="10"/>
      <color rgb="FF000000"/>
      <name val="Calibri"/>
      <family val="2"/>
      <scheme val="minor"/>
    </font>
    <font>
      <b/>
      <sz val="10"/>
      <name val="Calibri"/>
      <family val="2"/>
      <scheme val="minor"/>
    </font>
    <font>
      <u/>
      <sz val="10"/>
      <color rgb="FF0563C1"/>
      <name val="Calibri"/>
      <family val="2"/>
      <scheme val="minor"/>
    </font>
    <font>
      <i/>
      <sz val="10"/>
      <color rgb="FFFF0000"/>
      <name val="Calibri"/>
      <family val="2"/>
      <scheme val="minor"/>
    </font>
    <font>
      <sz val="10"/>
      <color rgb="FF000000"/>
      <name val="Calibri"/>
      <family val="2"/>
      <scheme val="minor"/>
    </font>
    <font>
      <sz val="10"/>
      <color theme="1"/>
      <name val="Calibri"/>
      <family val="2"/>
      <scheme val="minor"/>
    </font>
    <font>
      <b/>
      <sz val="11"/>
      <color theme="6"/>
      <name val="Calibri"/>
      <family val="2"/>
      <scheme val="minor"/>
    </font>
    <font>
      <sz val="11"/>
      <color theme="6"/>
      <name val="Calibri"/>
      <family val="2"/>
      <scheme val="minor"/>
    </font>
    <font>
      <b/>
      <sz val="14"/>
      <name val="Calibri"/>
      <family val="2"/>
      <scheme val="minor"/>
    </font>
    <font>
      <sz val="8"/>
      <color theme="1"/>
      <name val="Aptos"/>
      <family val="2"/>
    </font>
    <font>
      <sz val="8"/>
      <color theme="1"/>
      <name val="Calibri"/>
      <family val="2"/>
      <scheme val="minor"/>
    </font>
    <font>
      <b/>
      <i/>
      <sz val="11"/>
      <color theme="1"/>
      <name val="Calibri"/>
      <family val="2"/>
      <charset val="204"/>
      <scheme val="minor"/>
    </font>
    <font>
      <sz val="9"/>
      <color theme="0"/>
      <name val="Calibri"/>
      <family val="2"/>
      <charset val="204"/>
      <scheme val="minor"/>
    </font>
    <font>
      <vertAlign val="superscript"/>
      <sz val="12"/>
      <color rgb="FF000000"/>
      <name val="Arial"/>
      <family val="2"/>
    </font>
    <font>
      <sz val="10"/>
      <color rgb="FF000000"/>
      <name val="Aptos"/>
      <family val="2"/>
    </font>
    <font>
      <b/>
      <sz val="10"/>
      <color rgb="FF000000"/>
      <name val="Aptos"/>
      <family val="2"/>
    </font>
    <font>
      <b/>
      <sz val="8"/>
      <color theme="1"/>
      <name val="Calibri"/>
      <family val="2"/>
      <scheme val="minor"/>
    </font>
    <font>
      <sz val="8"/>
      <color rgb="FF000000"/>
      <name val="Calibri"/>
      <family val="2"/>
    </font>
    <font>
      <b/>
      <sz val="8"/>
      <color rgb="FF000000"/>
      <name val="Calibri"/>
      <family val="2"/>
    </font>
  </fonts>
  <fills count="25">
    <fill>
      <patternFill patternType="none"/>
    </fill>
    <fill>
      <patternFill patternType="gray125"/>
    </fill>
    <fill>
      <patternFill patternType="solid">
        <fgColor rgb="FFD0CECE"/>
        <bgColor rgb="FF000000"/>
      </patternFill>
    </fill>
    <fill>
      <patternFill patternType="solid">
        <fgColor rgb="FFFFFFFF"/>
        <bgColor rgb="FF000000"/>
      </patternFill>
    </fill>
    <fill>
      <patternFill patternType="solid">
        <fgColor theme="3"/>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rgb="FF000000"/>
      </patternFill>
    </fill>
    <fill>
      <patternFill patternType="solid">
        <fgColor theme="9" tint="0.59999389629810485"/>
        <bgColor indexed="64"/>
      </patternFill>
    </fill>
    <fill>
      <patternFill patternType="solid">
        <fgColor rgb="FF7095AC"/>
        <bgColor indexed="64"/>
      </patternFill>
    </fill>
    <fill>
      <patternFill patternType="solid">
        <fgColor rgb="FF00468B"/>
        <bgColor indexed="64"/>
      </patternFill>
    </fill>
    <fill>
      <patternFill patternType="solid">
        <fgColor rgb="FFA25EB5"/>
        <bgColor indexed="64"/>
      </patternFill>
    </fill>
    <fill>
      <patternFill patternType="solid">
        <fgColor theme="9" tint="0.79998168889431442"/>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3" tint="0.79998168889431442"/>
        <bgColor indexed="64"/>
      </patternFill>
    </fill>
    <fill>
      <patternFill patternType="solid">
        <fgColor rgb="FF00468B"/>
        <bgColor rgb="FF000000"/>
      </patternFill>
    </fill>
    <fill>
      <patternFill patternType="solid">
        <fgColor rgb="FFF0EAF3"/>
        <bgColor indexed="64"/>
      </patternFill>
    </fill>
    <fill>
      <patternFill patternType="solid">
        <fgColor rgb="FFE2E9EE"/>
        <bgColor indexed="64"/>
      </patternFill>
    </fill>
    <fill>
      <patternFill patternType="solid">
        <fgColor rgb="FFE7E9EE"/>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Dashed">
        <color rgb="FFFFC000"/>
      </left>
      <right style="thin">
        <color indexed="64"/>
      </right>
      <top style="mediumDashed">
        <color rgb="FFFFC000"/>
      </top>
      <bottom style="thin">
        <color indexed="64"/>
      </bottom>
      <diagonal/>
    </border>
    <border>
      <left/>
      <right/>
      <top/>
      <bottom style="mediumDashed">
        <color rgb="FFFFC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161">
    <xf numFmtId="0" fontId="0" fillId="0" borderId="0" xfId="0"/>
    <xf numFmtId="0" fontId="4" fillId="0" borderId="1" xfId="0" applyFont="1" applyBorder="1" applyAlignment="1">
      <alignment vertical="top" wrapText="1"/>
    </xf>
    <xf numFmtId="0" fontId="0" fillId="9" borderId="0" xfId="0" applyFill="1"/>
    <xf numFmtId="0" fontId="8" fillId="0" borderId="0" xfId="0" applyFont="1"/>
    <xf numFmtId="0" fontId="9" fillId="0" borderId="0" xfId="0" applyFont="1"/>
    <xf numFmtId="0" fontId="0" fillId="10" borderId="0" xfId="0" applyFill="1"/>
    <xf numFmtId="0" fontId="10" fillId="0" borderId="0" xfId="0" applyFont="1"/>
    <xf numFmtId="0" fontId="0" fillId="0" borderId="0" xfId="0" applyAlignment="1">
      <alignment vertical="top"/>
    </xf>
    <xf numFmtId="0" fontId="7" fillId="4" borderId="0" xfId="0" applyFont="1" applyFill="1" applyAlignment="1">
      <alignment horizontal="left" vertical="top"/>
    </xf>
    <xf numFmtId="0" fontId="7" fillId="4" borderId="0" xfId="0" applyFont="1" applyFill="1" applyAlignment="1">
      <alignment horizontal="left" vertical="top" wrapText="1"/>
    </xf>
    <xf numFmtId="0" fontId="0" fillId="5" borderId="0" xfId="0" applyFill="1" applyAlignment="1">
      <alignment vertical="top"/>
    </xf>
    <xf numFmtId="0" fontId="0" fillId="0" borderId="0" xfId="0" applyAlignment="1">
      <alignment vertical="top" wrapText="1"/>
    </xf>
    <xf numFmtId="0" fontId="4" fillId="3" borderId="0" xfId="0" applyFont="1" applyFill="1" applyAlignment="1">
      <alignment vertical="top" wrapText="1"/>
    </xf>
    <xf numFmtId="0" fontId="14" fillId="0" borderId="0" xfId="0" applyFont="1"/>
    <xf numFmtId="0" fontId="4" fillId="0" borderId="1" xfId="0" applyFont="1" applyBorder="1" applyAlignment="1">
      <alignment vertical="top"/>
    </xf>
    <xf numFmtId="0" fontId="4" fillId="0" borderId="1" xfId="0" applyFont="1" applyBorder="1" applyAlignment="1">
      <alignment horizontal="left" vertical="top"/>
    </xf>
    <xf numFmtId="0" fontId="13" fillId="0" borderId="0" xfId="0" applyFont="1"/>
    <xf numFmtId="0" fontId="3" fillId="0" borderId="0" xfId="0" applyFont="1"/>
    <xf numFmtId="0" fontId="15" fillId="0" borderId="0" xfId="0" applyFont="1"/>
    <xf numFmtId="0" fontId="16" fillId="0" borderId="1" xfId="0" applyFont="1" applyBorder="1"/>
    <xf numFmtId="0" fontId="17" fillId="0" borderId="0" xfId="0" applyFont="1"/>
    <xf numFmtId="0" fontId="18" fillId="0" borderId="0" xfId="0" applyFont="1"/>
    <xf numFmtId="0" fontId="11" fillId="0" borderId="0" xfId="0" applyFont="1" applyAlignment="1">
      <alignment vertical="top" wrapText="1"/>
    </xf>
    <xf numFmtId="0" fontId="22" fillId="0" borderId="7" xfId="0" applyFont="1" applyBorder="1" applyAlignment="1">
      <alignment vertical="top" wrapText="1"/>
    </xf>
    <xf numFmtId="0" fontId="22" fillId="0" borderId="0" xfId="0" applyFont="1" applyAlignment="1">
      <alignment vertical="top" wrapText="1"/>
    </xf>
    <xf numFmtId="0" fontId="23" fillId="12" borderId="1" xfId="0" applyFont="1" applyFill="1" applyBorder="1"/>
    <xf numFmtId="0" fontId="24" fillId="0" borderId="0" xfId="0" applyFont="1"/>
    <xf numFmtId="0" fontId="25" fillId="0" borderId="0" xfId="0" applyFont="1"/>
    <xf numFmtId="0" fontId="5" fillId="11" borderId="1"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0" xfId="0" applyFont="1" applyFill="1" applyAlignment="1">
      <alignment vertical="top" wrapText="1"/>
    </xf>
    <xf numFmtId="0" fontId="17" fillId="0" borderId="1" xfId="0" applyFont="1" applyBorder="1" applyAlignment="1">
      <alignment vertical="top" wrapText="1"/>
    </xf>
    <xf numFmtId="0" fontId="27" fillId="11" borderId="1" xfId="0" applyFont="1" applyFill="1" applyBorder="1" applyAlignment="1">
      <alignment horizontal="left" vertical="top" wrapText="1"/>
    </xf>
    <xf numFmtId="0" fontId="4" fillId="6" borderId="4" xfId="0" applyFont="1" applyFill="1" applyBorder="1" applyAlignment="1">
      <alignment vertical="top" wrapText="1"/>
    </xf>
    <xf numFmtId="0" fontId="6" fillId="0" borderId="1" xfId="0" applyFont="1" applyBorder="1" applyAlignment="1">
      <alignment vertical="top" wrapText="1"/>
    </xf>
    <xf numFmtId="0" fontId="26" fillId="11" borderId="4" xfId="0" applyFont="1" applyFill="1" applyBorder="1" applyAlignment="1">
      <alignment horizontal="left" vertical="top" wrapText="1"/>
    </xf>
    <xf numFmtId="0" fontId="26" fillId="7" borderId="4"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1" xfId="0" applyFont="1" applyFill="1" applyBorder="1" applyAlignment="1">
      <alignment horizontal="center" vertical="top" wrapText="1"/>
    </xf>
    <xf numFmtId="0" fontId="27" fillId="7" borderId="1" xfId="0" applyFont="1" applyFill="1" applyBorder="1" applyAlignment="1">
      <alignment horizontal="center" vertical="top" wrapText="1"/>
    </xf>
    <xf numFmtId="0" fontId="5" fillId="8" borderId="1" xfId="0" applyFont="1" applyFill="1" applyBorder="1" applyAlignment="1">
      <alignment horizontal="left" vertical="top" wrapText="1"/>
    </xf>
    <xf numFmtId="0" fontId="5" fillId="11" borderId="0" xfId="0" applyFont="1" applyFill="1" applyAlignment="1">
      <alignment horizontal="left" vertical="top" wrapText="1"/>
    </xf>
    <xf numFmtId="0" fontId="5" fillId="8" borderId="0" xfId="0" applyFont="1" applyFill="1" applyAlignment="1">
      <alignment horizontal="left" vertical="top" wrapText="1"/>
    </xf>
    <xf numFmtId="0" fontId="28" fillId="11" borderId="0" xfId="0" applyFont="1" applyFill="1" applyAlignment="1">
      <alignment horizontal="left" vertical="top" wrapText="1"/>
    </xf>
    <xf numFmtId="0" fontId="29" fillId="0" borderId="0" xfId="0" applyFont="1"/>
    <xf numFmtId="0" fontId="7" fillId="4" borderId="0" xfId="0" applyFont="1" applyFill="1" applyAlignment="1">
      <alignment horizontal="right" vertical="top"/>
    </xf>
    <xf numFmtId="0" fontId="5" fillId="11" borderId="1" xfId="0" applyFont="1" applyFill="1" applyBorder="1" applyAlignment="1">
      <alignment horizontal="right" vertical="top" wrapText="1"/>
    </xf>
    <xf numFmtId="0" fontId="5" fillId="7" borderId="1" xfId="0" applyFont="1" applyFill="1" applyBorder="1" applyAlignment="1">
      <alignment horizontal="right" vertical="top" wrapText="1"/>
    </xf>
    <xf numFmtId="0" fontId="6" fillId="0" borderId="1" xfId="0" applyFont="1" applyBorder="1" applyAlignment="1">
      <alignment horizontal="right" vertical="top" wrapText="1"/>
    </xf>
    <xf numFmtId="0" fontId="0" fillId="0" borderId="0" xfId="0" applyAlignment="1">
      <alignment horizontal="right" vertical="top"/>
    </xf>
    <xf numFmtId="0" fontId="32" fillId="4" borderId="0" xfId="0" applyFont="1" applyFill="1" applyAlignment="1">
      <alignment horizontal="left" vertical="top"/>
    </xf>
    <xf numFmtId="0" fontId="33" fillId="0" borderId="0" xfId="0" applyFont="1" applyAlignment="1">
      <alignment vertical="top"/>
    </xf>
    <xf numFmtId="0" fontId="2" fillId="0" borderId="0" xfId="0" applyFont="1" applyAlignment="1">
      <alignment vertical="top"/>
    </xf>
    <xf numFmtId="0" fontId="36" fillId="0" borderId="0" xfId="0" applyFont="1" applyAlignment="1">
      <alignment vertical="top" wrapText="1"/>
    </xf>
    <xf numFmtId="0" fontId="0" fillId="0" borderId="1" xfId="0" applyBorder="1"/>
    <xf numFmtId="0" fontId="29" fillId="0" borderId="1" xfId="0" applyFont="1" applyBorder="1"/>
    <xf numFmtId="14" fontId="0" fillId="0" borderId="0" xfId="0" applyNumberFormat="1"/>
    <xf numFmtId="0" fontId="13" fillId="0" borderId="1" xfId="0" applyFont="1" applyBorder="1"/>
    <xf numFmtId="0" fontId="0" fillId="13" borderId="0" xfId="0" applyFill="1"/>
    <xf numFmtId="0" fontId="19" fillId="14" borderId="0" xfId="0" applyFont="1" applyFill="1"/>
    <xf numFmtId="0" fontId="0" fillId="14" borderId="0" xfId="0" applyFill="1"/>
    <xf numFmtId="0" fontId="37" fillId="14" borderId="0" xfId="0" applyFont="1" applyFill="1"/>
    <xf numFmtId="0" fontId="19" fillId="15" borderId="0" xfId="0" applyFont="1" applyFill="1"/>
    <xf numFmtId="0" fontId="0" fillId="15" borderId="0" xfId="0" applyFill="1"/>
    <xf numFmtId="0" fontId="30" fillId="13" borderId="0" xfId="0" applyFont="1" applyFill="1"/>
    <xf numFmtId="0" fontId="19" fillId="13" borderId="0" xfId="0" applyFont="1" applyFill="1"/>
    <xf numFmtId="0" fontId="30" fillId="15" borderId="0" xfId="0" applyFont="1" applyFill="1"/>
    <xf numFmtId="0" fontId="15" fillId="0" borderId="1" xfId="0" applyFont="1" applyBorder="1"/>
    <xf numFmtId="0" fontId="38" fillId="0" borderId="1" xfId="0" applyFont="1" applyBorder="1"/>
    <xf numFmtId="0" fontId="38" fillId="0" borderId="0" xfId="0" applyFont="1"/>
    <xf numFmtId="0" fontId="29" fillId="0" borderId="11" xfId="0" applyFont="1" applyBorder="1"/>
    <xf numFmtId="0" fontId="0" fillId="0" borderId="12" xfId="0" applyBorder="1"/>
    <xf numFmtId="0" fontId="0" fillId="0" borderId="13" xfId="0" applyBorder="1"/>
    <xf numFmtId="0" fontId="29" fillId="0" borderId="14" xfId="0" applyFont="1" applyBorder="1"/>
    <xf numFmtId="0" fontId="0" fillId="0" borderId="15" xfId="0" applyBorder="1"/>
    <xf numFmtId="0" fontId="0" fillId="0" borderId="16" xfId="0" applyBorder="1"/>
    <xf numFmtId="0" fontId="29" fillId="0" borderId="17" xfId="0" applyFont="1" applyBorder="1"/>
    <xf numFmtId="0" fontId="0" fillId="0" borderId="19" xfId="0" applyBorder="1"/>
    <xf numFmtId="0" fontId="29" fillId="0" borderId="22" xfId="0" applyFont="1" applyBorder="1"/>
    <xf numFmtId="0" fontId="0" fillId="0" borderId="23" xfId="0" applyBorder="1"/>
    <xf numFmtId="0" fontId="29" fillId="0" borderId="18" xfId="0" applyFont="1" applyBorder="1"/>
    <xf numFmtId="0" fontId="29" fillId="0" borderId="21" xfId="0" applyFont="1" applyBorder="1"/>
    <xf numFmtId="0" fontId="29" fillId="0" borderId="16" xfId="0" applyFont="1" applyBorder="1"/>
    <xf numFmtId="0" fontId="0" fillId="16" borderId="17" xfId="0" applyFill="1" applyBorder="1"/>
    <xf numFmtId="0" fontId="0" fillId="16" borderId="20" xfId="0" applyFill="1" applyBorder="1"/>
    <xf numFmtId="0" fontId="29" fillId="0" borderId="6" xfId="0" applyFont="1" applyBorder="1"/>
    <xf numFmtId="0" fontId="0" fillId="0" borderId="6" xfId="0" applyBorder="1"/>
    <xf numFmtId="0" fontId="0" fillId="0" borderId="24" xfId="0" applyBorder="1"/>
    <xf numFmtId="0" fontId="0" fillId="0" borderId="17" xfId="0" applyBorder="1"/>
    <xf numFmtId="0" fontId="40" fillId="15" borderId="0" xfId="0" applyFont="1" applyFill="1"/>
    <xf numFmtId="0" fontId="40" fillId="14" borderId="0" xfId="0" applyFont="1" applyFill="1"/>
    <xf numFmtId="0" fontId="41" fillId="2" borderId="10"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2" xfId="0" applyFont="1" applyFill="1" applyBorder="1" applyAlignment="1">
      <alignment vertical="top" wrapText="1"/>
    </xf>
    <xf numFmtId="0" fontId="41" fillId="2" borderId="5" xfId="0" applyFont="1" applyFill="1" applyBorder="1" applyAlignment="1">
      <alignment horizontal="left" vertical="top" wrapText="1"/>
    </xf>
    <xf numFmtId="0" fontId="41" fillId="2" borderId="3" xfId="0" applyFont="1" applyFill="1" applyBorder="1" applyAlignment="1">
      <alignment vertical="top" wrapText="1"/>
    </xf>
    <xf numFmtId="0" fontId="41" fillId="2" borderId="0" xfId="0" applyFont="1" applyFill="1" applyAlignment="1">
      <alignment vertical="top" wrapText="1"/>
    </xf>
    <xf numFmtId="0" fontId="42" fillId="2" borderId="8" xfId="0" applyFont="1" applyFill="1" applyBorder="1" applyAlignment="1">
      <alignment vertical="top" wrapText="1"/>
    </xf>
    <xf numFmtId="0" fontId="41" fillId="2" borderId="2" xfId="0" applyFont="1" applyFill="1" applyBorder="1" applyAlignment="1">
      <alignment horizontal="left" vertical="top" wrapText="1"/>
    </xf>
    <xf numFmtId="0" fontId="43" fillId="2" borderId="0" xfId="0" applyFont="1" applyFill="1" applyAlignment="1">
      <alignment vertical="top" wrapText="1"/>
    </xf>
    <xf numFmtId="0" fontId="44" fillId="3" borderId="0" xfId="0" applyFont="1" applyFill="1" applyAlignment="1">
      <alignment vertical="top" wrapText="1"/>
    </xf>
    <xf numFmtId="0" fontId="45" fillId="3" borderId="0" xfId="0" applyFont="1" applyFill="1" applyAlignment="1">
      <alignment horizontal="left" vertical="top" wrapText="1"/>
    </xf>
    <xf numFmtId="0" fontId="45" fillId="3" borderId="0" xfId="0" applyFont="1" applyFill="1" applyAlignment="1">
      <alignment vertical="top" wrapText="1"/>
    </xf>
    <xf numFmtId="0" fontId="46" fillId="0" borderId="0" xfId="0" applyFont="1" applyAlignment="1">
      <alignment vertical="top"/>
    </xf>
    <xf numFmtId="0" fontId="47" fillId="0" borderId="1" xfId="0" applyFont="1" applyBorder="1"/>
    <xf numFmtId="0" fontId="48" fillId="0" borderId="1" xfId="0" applyFont="1" applyBorder="1"/>
    <xf numFmtId="0" fontId="47" fillId="0" borderId="0" xfId="0" applyFont="1"/>
    <xf numFmtId="0" fontId="39" fillId="0" borderId="0" xfId="0" applyFont="1"/>
    <xf numFmtId="0" fontId="30" fillId="17" borderId="0" xfId="0" applyFont="1" applyFill="1"/>
    <xf numFmtId="0" fontId="31" fillId="17" borderId="0" xfId="0" applyFont="1" applyFill="1"/>
    <xf numFmtId="0" fontId="0" fillId="17" borderId="0" xfId="0" applyFill="1"/>
    <xf numFmtId="0" fontId="19" fillId="18" borderId="0" xfId="0" applyFont="1" applyFill="1"/>
    <xf numFmtId="0" fontId="0" fillId="18" borderId="0" xfId="0" applyFill="1"/>
    <xf numFmtId="0" fontId="49" fillId="18" borderId="0" xfId="0" applyFont="1" applyFill="1"/>
    <xf numFmtId="164" fontId="0" fillId="0" borderId="0" xfId="0" applyNumberFormat="1"/>
    <xf numFmtId="0" fontId="50" fillId="0" borderId="0" xfId="0" applyFont="1" applyAlignment="1">
      <alignment vertical="center"/>
    </xf>
    <xf numFmtId="0" fontId="30" fillId="19" borderId="0" xfId="0" applyFont="1" applyFill="1"/>
    <xf numFmtId="0" fontId="31" fillId="19" borderId="0" xfId="0" applyFont="1" applyFill="1"/>
    <xf numFmtId="0" fontId="0" fillId="19" borderId="0" xfId="0" applyFill="1"/>
    <xf numFmtId="0" fontId="52" fillId="0" borderId="1" xfId="0" applyFont="1" applyBorder="1"/>
    <xf numFmtId="0" fontId="34" fillId="0" borderId="1" xfId="0" applyFont="1" applyBorder="1"/>
    <xf numFmtId="0" fontId="13" fillId="20" borderId="0" xfId="0" applyFont="1" applyFill="1"/>
    <xf numFmtId="0" fontId="3" fillId="20" borderId="0" xfId="0" applyFont="1" applyFill="1"/>
    <xf numFmtId="49" fontId="13" fillId="0" borderId="0" xfId="0" applyNumberFormat="1" applyFont="1"/>
    <xf numFmtId="49" fontId="3" fillId="0" borderId="0" xfId="0" applyNumberFormat="1" applyFont="1"/>
    <xf numFmtId="0" fontId="53" fillId="21" borderId="1" xfId="0" applyFont="1" applyFill="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xf>
    <xf numFmtId="0" fontId="1" fillId="0" borderId="1" xfId="0" applyFont="1" applyBorder="1"/>
    <xf numFmtId="0" fontId="1" fillId="0" borderId="0" xfId="0" applyFont="1"/>
    <xf numFmtId="0" fontId="1" fillId="20" borderId="0" xfId="0" applyFont="1" applyFill="1"/>
    <xf numFmtId="49" fontId="1" fillId="0" borderId="0" xfId="0" applyNumberFormat="1" applyFont="1"/>
    <xf numFmtId="2" fontId="0" fillId="0" borderId="0" xfId="0" applyNumberFormat="1"/>
    <xf numFmtId="0" fontId="0" fillId="0" borderId="0" xfId="0" applyAlignment="1">
      <alignment horizontal="center" vertical="center"/>
    </xf>
    <xf numFmtId="0" fontId="0" fillId="14" borderId="0" xfId="0" applyFill="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29" fillId="0" borderId="17" xfId="0" applyFont="1" applyBorder="1" applyAlignment="1">
      <alignment horizontal="center" vertical="center"/>
    </xf>
    <xf numFmtId="0" fontId="29" fillId="0" borderId="1" xfId="0" applyFont="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29" fillId="0" borderId="6" xfId="0" applyFont="1" applyBorder="1" applyAlignment="1">
      <alignment horizontal="center" vertical="center"/>
    </xf>
    <xf numFmtId="0" fontId="0" fillId="16" borderId="20" xfId="0" applyFill="1" applyBorder="1" applyAlignment="1">
      <alignment horizontal="center" vertical="center"/>
    </xf>
    <xf numFmtId="0" fontId="0" fillId="0" borderId="24" xfId="0"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right"/>
    </xf>
    <xf numFmtId="0" fontId="55" fillId="22" borderId="1" xfId="0" applyFont="1" applyFill="1" applyBorder="1" applyAlignment="1">
      <alignment vertical="center" wrapText="1"/>
    </xf>
    <xf numFmtId="0" fontId="55" fillId="23" borderId="1" xfId="0" applyFont="1" applyFill="1" applyBorder="1" applyAlignment="1">
      <alignment vertical="center" wrapText="1"/>
    </xf>
    <xf numFmtId="0" fontId="14" fillId="0" borderId="1" xfId="0" applyFont="1" applyBorder="1"/>
    <xf numFmtId="0" fontId="0" fillId="0" borderId="1" xfId="0" applyBorder="1" applyAlignment="1">
      <alignment horizontal="right"/>
    </xf>
    <xf numFmtId="0" fontId="51" fillId="0" borderId="0" xfId="0" applyFont="1"/>
    <xf numFmtId="0" fontId="57" fillId="0" borderId="7" xfId="0" applyFont="1" applyBorder="1" applyAlignment="1">
      <alignment horizontal="center" vertical="center"/>
    </xf>
    <xf numFmtId="0" fontId="58" fillId="22" borderId="25" xfId="0" applyFont="1" applyFill="1" applyBorder="1" applyAlignment="1">
      <alignment horizontal="left" vertical="top" wrapText="1" readingOrder="1"/>
    </xf>
    <xf numFmtId="0" fontId="58" fillId="24" borderId="25" xfId="0" applyFont="1" applyFill="1" applyBorder="1" applyAlignment="1">
      <alignment horizontal="left" vertical="top" wrapText="1" readingOrder="1"/>
    </xf>
    <xf numFmtId="0" fontId="38" fillId="0" borderId="2" xfId="0" applyFont="1" applyBorder="1"/>
    <xf numFmtId="49" fontId="1" fillId="0" borderId="1" xfId="0" applyNumberFormat="1" applyFont="1" applyBorder="1"/>
    <xf numFmtId="0" fontId="4" fillId="0" borderId="0" xfId="0" applyFont="1" applyAlignment="1">
      <alignment vertical="top" wrapText="1"/>
    </xf>
    <xf numFmtId="0" fontId="21" fillId="4" borderId="9" xfId="0" applyFont="1" applyFill="1" applyBorder="1" applyAlignment="1">
      <alignment horizontal="center" vertical="top" wrapText="1"/>
    </xf>
    <xf numFmtId="0" fontId="25" fillId="0" borderId="0" xfId="0" applyFont="1" applyAlignment="1">
      <alignment horizontal="right"/>
    </xf>
  </cellXfs>
  <cellStyles count="1">
    <cellStyle name="Normal" xfId="0" builtinId="0"/>
  </cellStyles>
  <dxfs count="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bgColor theme="2" tint="-9.9948118533890809E-2"/>
        </patternFill>
      </fill>
    </dxf>
    <dxf>
      <font>
        <color rgb="FF006100"/>
      </font>
      <fill>
        <patternFill>
          <bgColor rgb="FFC6EFCE"/>
        </patternFill>
      </fill>
    </dxf>
    <dxf>
      <font>
        <color rgb="FF9C0006"/>
      </font>
      <fill>
        <patternFill>
          <bgColor rgb="FFFFC7CE"/>
        </patternFill>
      </fill>
    </dxf>
    <dxf>
      <font>
        <color theme="1"/>
      </font>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theme="2" tint="-9.9948118533890809E-2"/>
        </patternFill>
      </fill>
    </dxf>
    <dxf>
      <font>
        <color theme="1"/>
      </font>
      <fill>
        <patternFill>
          <bgColor theme="2" tint="-9.9948118533890809E-2"/>
        </patternFill>
      </fill>
    </dxf>
    <dxf>
      <font>
        <color rgb="FF006100"/>
      </font>
      <fill>
        <patternFill>
          <bgColor rgb="FFC6EFCE"/>
        </patternFill>
      </fill>
    </dxf>
    <dxf>
      <font>
        <color rgb="FF9C0006"/>
      </font>
      <fill>
        <patternFill>
          <bgColor rgb="FFFFC7CE"/>
        </patternFill>
      </fill>
    </dxf>
    <dxf>
      <font>
        <color theme="1"/>
      </font>
      <fill>
        <patternFill>
          <bgColor theme="2" tint="-9.9948118533890809E-2"/>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000000"/>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2"/>
        <color theme="1"/>
        <name val="Calibri"/>
        <family val="2"/>
        <charset val="204"/>
        <scheme val="minor"/>
      </font>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rgb="FF00000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rgb="FF00000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2"/>
        <color rgb="FF000000"/>
        <name val="Calibri"/>
        <family val="2"/>
        <charset val="204"/>
        <scheme val="minor"/>
      </font>
      <alignment horizontal="general" vertical="top" textRotation="0" wrapText="1" indent="0" justifyLastLine="0" shrinkToFit="0" readingOrder="0"/>
    </dxf>
    <dxf>
      <font>
        <strike val="0"/>
        <outline val="0"/>
        <shadow val="0"/>
        <sz val="11"/>
      </font>
      <alignment horizontal="general" vertical="top" textRotation="0" wrapText="0" indent="0" justifyLastLine="0" shrinkToFit="0" readingOrder="0"/>
    </dxf>
    <dxf>
      <font>
        <strike val="0"/>
        <outline val="0"/>
        <shadow val="0"/>
        <sz val="11"/>
      </font>
      <alignment horizontal="general" vertical="top" textRotation="0" wrapText="0" indent="0" justifyLastLine="0" shrinkToFit="0" readingOrder="0"/>
    </dxf>
    <dxf>
      <font>
        <strike val="0"/>
        <outline val="0"/>
        <shadow val="0"/>
        <sz val="11"/>
      </font>
      <alignment horizontal="general" vertical="top" textRotation="0" wrapText="0" indent="0" justifyLastLine="0" shrinkToFit="0" readingOrder="0"/>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sz val="11"/>
      </font>
      <fill>
        <patternFill patternType="solid">
          <fgColor indexed="64"/>
          <bgColor theme="0" tint="-0.1499984740745262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strike val="0"/>
        <outline val="0"/>
        <shadow val="0"/>
        <sz val="11"/>
      </font>
      <alignment horizontal="general" vertical="top" textRotation="0" wrapText="0" indent="0" justifyLastLine="0" shrinkToFit="0" readingOrder="0"/>
    </dxf>
    <dxf>
      <font>
        <b/>
        <i val="0"/>
        <strike val="0"/>
        <condense val="0"/>
        <extend val="0"/>
        <outline val="0"/>
        <shadow val="0"/>
        <u val="none"/>
        <vertAlign val="baseline"/>
        <sz val="10"/>
        <color rgb="FF000000"/>
        <name val="Calibri"/>
        <family val="2"/>
        <scheme val="minor"/>
      </font>
      <fill>
        <patternFill patternType="solid">
          <fgColor rgb="FF000000"/>
          <bgColor rgb="FFD0CECE"/>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licer Style 1" pivot="0" table="0" count="0" xr9:uid="{C18DA277-70C5-4E0C-A8EF-E18B7C88163F}"/>
    <tableStyle name="Table Style 1" pivot="0" count="1" xr9:uid="{0418A9F7-E696-4920-9A35-19BA0924FE50}">
      <tableStyleElement type="wholeTable" dxfId="98"/>
    </tableStyle>
  </tableStyles>
  <colors>
    <mruColors>
      <color rgb="FFFF99CC"/>
      <color rgb="FF79A02C"/>
      <color rgb="FF00468B"/>
      <color rgb="FFCCCCFF"/>
      <color rgb="FFA25EB5"/>
      <color rgb="FF000000"/>
      <color rgb="FF7095AC"/>
      <color rgb="FF4472C4"/>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67.xml"/><Relationship Id="rId1" Type="http://schemas.microsoft.com/office/2011/relationships/chartStyle" Target="style67.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Total outcomes reported by location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analysis'!$A$11:$A$19</c:f>
              <c:strCache>
                <c:ptCount val="9"/>
                <c:pt idx="0">
                  <c:v>Guatemala</c:v>
                </c:pt>
                <c:pt idx="1">
                  <c:v>Haiti</c:v>
                </c:pt>
                <c:pt idx="2">
                  <c:v>India</c:v>
                </c:pt>
                <c:pt idx="3">
                  <c:v>Kenya</c:v>
                </c:pt>
                <c:pt idx="4">
                  <c:v>Moldova</c:v>
                </c:pt>
                <c:pt idx="5">
                  <c:v>EE</c:v>
                </c:pt>
                <c:pt idx="6">
                  <c:v>ESA</c:v>
                </c:pt>
                <c:pt idx="7">
                  <c:v>LAC</c:v>
                </c:pt>
                <c:pt idx="8">
                  <c:v>Global</c:v>
                </c:pt>
              </c:strCache>
            </c:strRef>
          </c:cat>
          <c:val>
            <c:numRef>
              <c:f>'Quant analysis'!$B$11:$B$19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FC3-4DD9-B029-334FE795EB31}"/>
            </c:ext>
          </c:extLst>
        </c:ser>
        <c:dLbls>
          <c:dLblPos val="outEnd"/>
          <c:showLegendKey val="0"/>
          <c:showVal val="1"/>
          <c:showCatName val="0"/>
          <c:showSerName val="0"/>
          <c:showPercent val="0"/>
          <c:showBubbleSize val="0"/>
        </c:dLbls>
        <c:gapWidth val="219"/>
        <c:overlap val="-27"/>
        <c:axId val="790771440"/>
        <c:axId val="790769776"/>
      </c:barChart>
      <c:catAx>
        <c:axId val="79077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90769776"/>
        <c:crosses val="autoZero"/>
        <c:auto val="1"/>
        <c:lblAlgn val="ctr"/>
        <c:lblOffset val="100"/>
        <c:noMultiLvlLbl val="0"/>
      </c:catAx>
      <c:valAx>
        <c:axId val="790769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90771440"/>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analysis'!$AV$2:$AV$9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9DE-4C76-8D8F-E357F6AC7FFE}"/>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40"/>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468B"/>
              </a:solidFill>
              <a:ln w="19050">
                <a:solidFill>
                  <a:schemeClr val="lt1"/>
                </a:solidFill>
              </a:ln>
              <a:effectLst/>
            </c:spPr>
            <c:extLst>
              <c:ext xmlns:c16="http://schemas.microsoft.com/office/drawing/2014/chart" uri="{C3380CC4-5D6E-409C-BE32-E72D297353CC}">
                <c16:uniqueId val="{00000001-7445-44CA-BF66-3DB4F2CB5068}"/>
              </c:ext>
            </c:extLst>
          </c:dPt>
          <c:dPt>
            <c:idx val="1"/>
            <c:bubble3D val="0"/>
            <c:spPr>
              <a:solidFill>
                <a:srgbClr val="A25EB5"/>
              </a:solidFill>
              <a:ln w="19050">
                <a:solidFill>
                  <a:schemeClr val="lt1"/>
                </a:solidFill>
              </a:ln>
              <a:effectLst/>
            </c:spPr>
            <c:extLst>
              <c:ext xmlns:c16="http://schemas.microsoft.com/office/drawing/2014/chart" uri="{C3380CC4-5D6E-409C-BE32-E72D297353CC}">
                <c16:uniqueId val="{00000003-7445-44CA-BF66-3DB4F2CB506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analysis'!$D$2:$D$3</c:f>
              <c:strCache>
                <c:ptCount val="2"/>
                <c:pt idx="0">
                  <c:v>Yes</c:v>
                </c:pt>
                <c:pt idx="1">
                  <c:v>No</c:v>
                </c:pt>
              </c:strCache>
            </c:strRef>
          </c:cat>
          <c:val>
            <c:numRef>
              <c:f>'Quant analysis'!$I$2:$I$3</c:f>
              <c:numCache>
                <c:formatCode>General</c:formatCode>
                <c:ptCount val="2"/>
                <c:pt idx="0">
                  <c:v>0</c:v>
                </c:pt>
                <c:pt idx="1">
                  <c:v>0</c:v>
                </c:pt>
              </c:numCache>
            </c:numRef>
          </c:val>
          <c:extLst>
            <c:ext xmlns:c16="http://schemas.microsoft.com/office/drawing/2014/chart" uri="{C3380CC4-5D6E-409C-BE32-E72D297353CC}">
              <c16:uniqueId val="{00000006-7445-44CA-BF66-3DB4F2CB5068}"/>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A25EB5"/>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analysis'!$Y$2:$Y$29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F597-4EBD-9A2E-206F44D82ACE}"/>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A25EB5"/>
            </a:solidFill>
            <a:ln>
              <a:solidFill>
                <a:srgbClr val="A25EB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analysis'!$AG$2:$AG$6,'Quant analysis'!$AG$14)</c:f>
              <c:strCache>
                <c:ptCount val="6"/>
                <c:pt idx="0">
                  <c:v>Government actor in demonstration country  </c:v>
                </c:pt>
                <c:pt idx="1">
                  <c:v>Faith-Based actor in demonstration country </c:v>
                </c:pt>
                <c:pt idx="2">
                  <c:v>Civil Society actor in demonstration country </c:v>
                </c:pt>
                <c:pt idx="3">
                  <c:v>Residential Care actor in demonstration country</c:v>
                </c:pt>
                <c:pt idx="4">
                  <c:v>PWLE network in demonstration country</c:v>
                </c:pt>
                <c:pt idx="5">
                  <c:v>Other</c:v>
                </c:pt>
              </c:strCache>
            </c:strRef>
          </c:cat>
          <c:val>
            <c:numRef>
              <c:extLst>
                <c:ext xmlns:c15="http://schemas.microsoft.com/office/drawing/2012/chart" uri="{02D57815-91ED-43cb-92C2-25804820EDAC}">
                  <c15:fullRef>
                    <c15:sqref>'Quant analysis'!$AL$2:$AL$14</c15:sqref>
                  </c15:fullRef>
                </c:ext>
              </c:extLst>
              <c:f>('Quant analysis'!$AL$2:$AL$6,'Quant analysis'!$AL$14)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977-49FD-9E5D-86454E3245A4}"/>
            </c:ext>
          </c:extLst>
        </c:ser>
        <c:dLbls>
          <c:dLblPos val="outEnd"/>
          <c:showLegendKey val="0"/>
          <c:showVal val="1"/>
          <c:showCatName val="0"/>
          <c:showSerName val="0"/>
          <c:showPercent val="0"/>
          <c:showBubbleSize val="0"/>
        </c:dLbls>
        <c:gapWidth val="182"/>
        <c:axId val="433279696"/>
        <c:axId val="122534976"/>
      </c:barChart>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valAx>
        <c:axId val="122534976"/>
        <c:scaling>
          <c:orientation val="minMax"/>
        </c:scaling>
        <c:delete val="1"/>
        <c:axPos val="t"/>
        <c:numFmt formatCode="General" sourceLinked="1"/>
        <c:majorTickMark val="out"/>
        <c:minorTickMark val="none"/>
        <c:tickLblPos val="nextTo"/>
        <c:crossAx val="4332796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U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analysis'!$AY$2:$AY$9</c:f>
              <c:numCache>
                <c:formatCode>General</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0-4B04-4640-B38D-97810D847F50}"/>
            </c:ext>
          </c:extLst>
        </c:ser>
        <c:dLbls>
          <c:dLblPos val="outEnd"/>
          <c:showLegendKey val="0"/>
          <c:showVal val="1"/>
          <c:showCatName val="0"/>
          <c:showSerName val="0"/>
          <c:showPercent val="0"/>
          <c:showBubbleSize val="0"/>
        </c:dLbls>
        <c:gapWidth val="182"/>
        <c:axId val="326437984"/>
        <c:axId val="636726816"/>
        <c:extLst/>
      </c:barChart>
      <c:catAx>
        <c:axId val="326437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726816"/>
        <c:crosses val="autoZero"/>
        <c:auto val="1"/>
        <c:lblAlgn val="ctr"/>
        <c:lblOffset val="100"/>
        <c:noMultiLvlLbl val="0"/>
      </c:catAx>
      <c:valAx>
        <c:axId val="636726816"/>
        <c:scaling>
          <c:orientation val="minMax"/>
        </c:scaling>
        <c:delete val="1"/>
        <c:axPos val="t"/>
        <c:numFmt formatCode="General" sourceLinked="1"/>
        <c:majorTickMark val="none"/>
        <c:minorTickMark val="none"/>
        <c:tickLblPos val="nextTo"/>
        <c:crossAx val="3264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468B"/>
              </a:solidFill>
              <a:ln w="19050">
                <a:solidFill>
                  <a:schemeClr val="lt1"/>
                </a:solidFill>
              </a:ln>
              <a:effectLst/>
            </c:spPr>
            <c:extLst>
              <c:ext xmlns:c16="http://schemas.microsoft.com/office/drawing/2014/chart" uri="{C3380CC4-5D6E-409C-BE32-E72D297353CC}">
                <c16:uniqueId val="{00000001-7EDF-482A-BD33-B5EE4B1629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EDF-482A-BD33-B5EE4B16298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'Quant analysis'!$D$2:$D$4</c15:sqref>
                  </c15:fullRef>
                </c:ext>
              </c:extLst>
              <c:f>'Quant analysis'!$D$2:$D$3</c:f>
              <c:strCache>
                <c:ptCount val="2"/>
                <c:pt idx="0">
                  <c:v>Yes</c:v>
                </c:pt>
                <c:pt idx="1">
                  <c:v>No</c:v>
                </c:pt>
              </c:strCache>
            </c:strRef>
          </c:cat>
          <c:val>
            <c:numRef>
              <c:extLst>
                <c:ext xmlns:c15="http://schemas.microsoft.com/office/drawing/2012/chart" uri="{02D57815-91ED-43cb-92C2-25804820EDAC}">
                  <c15:fullRef>
                    <c15:sqref>'Quant analysis'!$J$2:$J$4</c15:sqref>
                  </c15:fullRef>
                </c:ext>
              </c:extLst>
              <c:f>'Quant analysis'!$J$2:$J$3</c:f>
              <c:numCache>
                <c:formatCode>General</c:formatCode>
                <c:ptCount val="2"/>
                <c:pt idx="0">
                  <c:v>0</c:v>
                </c:pt>
                <c:pt idx="1">
                  <c:v>0</c:v>
                </c:pt>
              </c:numCache>
            </c:numRef>
          </c:val>
          <c:extLst>
            <c:ext xmlns:c15="http://schemas.microsoft.com/office/drawing/2012/chart" uri="{02D57815-91ED-43cb-92C2-25804820EDAC}">
              <c15:categoryFilterExceptions>
                <c15:categoryFilterException>
                  <c15:sqref>'Quant analysis'!$J$4</c15:sqref>
                  <c15:spPr xmlns:c15="http://schemas.microsoft.com/office/drawing/2012/chart">
                    <a:solidFill>
                      <a:schemeClr val="accent3"/>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7EDF-482A-BD33-B5EE4B162989}"/>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720" b="0" i="0" u="none" strike="noStrike" kern="1200" spc="0" baseline="0">
                <a:solidFill>
                  <a:schemeClr val="tx1">
                    <a:lumMod val="65000"/>
                    <a:lumOff val="35000"/>
                  </a:schemeClr>
                </a:solidFill>
                <a:latin typeface="+mn-lt"/>
                <a:ea typeface="+mn-ea"/>
                <a:cs typeface="+mn-cs"/>
              </a:defRPr>
            </a:pPr>
            <a:r>
              <a:rPr lang="en-US" sz="1400"/>
              <a:t>Date of outcomes</a:t>
            </a:r>
          </a:p>
        </c:rich>
      </c:tx>
      <c:overlay val="0"/>
      <c:spPr>
        <a:noFill/>
        <a:ln>
          <a:noFill/>
        </a:ln>
        <a:effectLst/>
      </c:spPr>
      <c:txPr>
        <a:bodyPr rot="0" spcFirstLastPara="1" vertOverflow="ellipsis" vert="horz" wrap="square" anchor="ctr" anchorCtr="1"/>
        <a:lstStyle/>
        <a:p>
          <a:pPr>
            <a:defRPr sz="7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7095AC"/>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analysis'!$Z$2:$Z$29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9B7B-44FA-A8B6-EFB53BE8C66E}"/>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7095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analysis'!$AG$2:$AG$6,'Quant analysis'!$AG$14)</c:f>
              <c:strCache>
                <c:ptCount val="6"/>
                <c:pt idx="0">
                  <c:v>Government actor in demonstration country  </c:v>
                </c:pt>
                <c:pt idx="1">
                  <c:v>Faith-Based actor in demonstration country </c:v>
                </c:pt>
                <c:pt idx="2">
                  <c:v>Civil Society actor in demonstration country </c:v>
                </c:pt>
                <c:pt idx="3">
                  <c:v>Residential Care actor in demonstration country</c:v>
                </c:pt>
                <c:pt idx="4">
                  <c:v>PWLE network in demonstration country</c:v>
                </c:pt>
                <c:pt idx="5">
                  <c:v>Other</c:v>
                </c:pt>
              </c:strCache>
            </c:strRef>
          </c:cat>
          <c:val>
            <c:numRef>
              <c:extLst>
                <c:ext xmlns:c15="http://schemas.microsoft.com/office/drawing/2012/chart" uri="{02D57815-91ED-43cb-92C2-25804820EDAC}">
                  <c15:fullRef>
                    <c15:sqref>'Quant analysis'!$AM$2:$AM$14</c15:sqref>
                  </c15:fullRef>
                </c:ext>
              </c:extLst>
              <c:f>('Quant analysis'!$AM$2:$AM$6,'Quant analysis'!$AM$14)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F97-4EA7-AF6F-590543DD7309}"/>
            </c:ext>
          </c:extLst>
        </c:ser>
        <c:dLbls>
          <c:showLegendKey val="0"/>
          <c:showVal val="0"/>
          <c:showCatName val="0"/>
          <c:showSerName val="0"/>
          <c:showPercent val="0"/>
          <c:showBubbleSize val="0"/>
        </c:dLbls>
        <c:gapWidth val="182"/>
        <c:axId val="433279696"/>
        <c:axId val="122534976"/>
      </c:barChart>
      <c:valAx>
        <c:axId val="122534976"/>
        <c:scaling>
          <c:orientation val="minMax"/>
        </c:scaling>
        <c:delete val="1"/>
        <c:axPos val="t"/>
        <c:numFmt formatCode="General" sourceLinked="1"/>
        <c:majorTickMark val="out"/>
        <c:minorTickMark val="none"/>
        <c:tickLblPos val="nextTo"/>
        <c:crossAx val="433279696"/>
        <c:crosses val="autoZero"/>
        <c:crossBetween val="between"/>
        <c:majorUnit val="5"/>
      </c:valAx>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7095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analysis'!$AZ$2:$AZ$9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092-4015-8D1E-3BF56D47A385}"/>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40"/>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468B"/>
              </a:solidFill>
              <a:ln w="19050">
                <a:solidFill>
                  <a:schemeClr val="lt1"/>
                </a:solidFill>
              </a:ln>
              <a:effectLst/>
            </c:spPr>
            <c:extLst>
              <c:ext xmlns:c16="http://schemas.microsoft.com/office/drawing/2014/chart" uri="{C3380CC4-5D6E-409C-BE32-E72D297353CC}">
                <c16:uniqueId val="{00000001-D818-4662-BBC0-BC50CBC58860}"/>
              </c:ext>
            </c:extLst>
          </c:dPt>
          <c:dPt>
            <c:idx val="1"/>
            <c:bubble3D val="0"/>
            <c:spPr>
              <a:solidFill>
                <a:srgbClr val="A25EB5"/>
              </a:solidFill>
              <a:ln w="19050">
                <a:solidFill>
                  <a:schemeClr val="lt1"/>
                </a:solidFill>
              </a:ln>
              <a:effectLst/>
            </c:spPr>
            <c:extLst>
              <c:ext xmlns:c16="http://schemas.microsoft.com/office/drawing/2014/chart" uri="{C3380CC4-5D6E-409C-BE32-E72D297353CC}">
                <c16:uniqueId val="{00000003-D818-4662-BBC0-BC50CBC588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D818-4662-BBC0-BC50CBC5886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analysis'!$D$2:$D$3</c:f>
              <c:strCache>
                <c:ptCount val="2"/>
                <c:pt idx="0">
                  <c:v>Yes</c:v>
                </c:pt>
                <c:pt idx="1">
                  <c:v>No</c:v>
                </c:pt>
              </c:strCache>
            </c:strRef>
          </c:cat>
          <c:val>
            <c:numRef>
              <c:f>'Quant analysis'!$H$2:$H$3</c:f>
              <c:numCache>
                <c:formatCode>General</c:formatCode>
                <c:ptCount val="2"/>
                <c:pt idx="0">
                  <c:v>0</c:v>
                </c:pt>
                <c:pt idx="1">
                  <c:v>0</c:v>
                </c:pt>
              </c:numCache>
            </c:numRef>
          </c:val>
          <c:extLst>
            <c:ext xmlns:c16="http://schemas.microsoft.com/office/drawing/2014/chart" uri="{C3380CC4-5D6E-409C-BE32-E72D297353CC}">
              <c16:uniqueId val="{00000004-D818-4662-BBC0-BC50CBC58860}"/>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spPr>
            <a:solidFill>
              <a:srgbClr val="A25EB5"/>
            </a:solidFill>
          </c:spPr>
          <c:dPt>
            <c:idx val="0"/>
            <c:bubble3D val="0"/>
            <c:spPr>
              <a:solidFill>
                <a:srgbClr val="00468B"/>
              </a:solidFill>
              <a:ln w="19050">
                <a:solidFill>
                  <a:schemeClr val="lt1"/>
                </a:solidFill>
              </a:ln>
              <a:effectLst/>
            </c:spPr>
            <c:extLst>
              <c:ext xmlns:c16="http://schemas.microsoft.com/office/drawing/2014/chart" uri="{C3380CC4-5D6E-409C-BE32-E72D297353CC}">
                <c16:uniqueId val="{00000001-4B70-4287-A483-E4F2FA68BD96}"/>
              </c:ext>
            </c:extLst>
          </c:dPt>
          <c:dPt>
            <c:idx val="1"/>
            <c:bubble3D val="0"/>
            <c:spPr>
              <a:solidFill>
                <a:srgbClr val="A25EB5"/>
              </a:solidFill>
              <a:ln w="19050">
                <a:solidFill>
                  <a:schemeClr val="lt1"/>
                </a:solidFill>
              </a:ln>
              <a:effectLst/>
            </c:spPr>
            <c:extLst>
              <c:ext xmlns:c16="http://schemas.microsoft.com/office/drawing/2014/chart" uri="{C3380CC4-5D6E-409C-BE32-E72D297353CC}">
                <c16:uniqueId val="{00000003-4B70-4287-A483-E4F2FA68BD9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'Quant analysis'!$D$2:$D$4</c15:sqref>
                  </c15:fullRef>
                </c:ext>
              </c:extLst>
              <c:f>'Quant analysis'!$D$2:$D$3</c:f>
              <c:strCache>
                <c:ptCount val="2"/>
                <c:pt idx="0">
                  <c:v>Yes</c:v>
                </c:pt>
                <c:pt idx="1">
                  <c:v>No</c:v>
                </c:pt>
              </c:strCache>
            </c:strRef>
          </c:cat>
          <c:val>
            <c:numRef>
              <c:extLst>
                <c:ext xmlns:c15="http://schemas.microsoft.com/office/drawing/2012/chart" uri="{02D57815-91ED-43cb-92C2-25804820EDAC}">
                  <c15:fullRef>
                    <c15:sqref>'Quant analysis'!$E$2:$E$4</c15:sqref>
                  </c15:fullRef>
                </c:ext>
              </c:extLst>
              <c:f>'Quant analysis'!$E$2:$E$3</c:f>
              <c:numCache>
                <c:formatCode>General</c:formatCode>
                <c:ptCount val="2"/>
                <c:pt idx="0">
                  <c:v>0</c:v>
                </c:pt>
                <c:pt idx="1">
                  <c:v>0</c:v>
                </c:pt>
              </c:numCache>
            </c:numRef>
          </c:val>
          <c:extLst>
            <c:ext xmlns:c15="http://schemas.microsoft.com/office/drawing/2012/chart" uri="{02D57815-91ED-43cb-92C2-25804820EDAC}">
              <c15:categoryFilterExceptions>
                <c15:categoryFilterException>
                  <c15:sqref>'Quant analysis'!$E$4</c15:sqref>
                  <c15:spPr xmlns:c15="http://schemas.microsoft.com/office/drawing/2012/chart">
                    <a:solidFill>
                      <a:srgbClr val="A25EB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4B70-4287-A483-E4F2FA68BD96}"/>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2"/>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analysis'!$X$2:$X$27</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95D9-4503-AEE1-54D6C2406ED5}"/>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analysis'!$AG$2:$AG$4,'Quant analysis'!$AG$14)</c:f>
              <c:strCache>
                <c:ptCount val="4"/>
                <c:pt idx="0">
                  <c:v>Government actor in demonstration country  </c:v>
                </c:pt>
                <c:pt idx="1">
                  <c:v>Faith-Based actor in demonstration country </c:v>
                </c:pt>
                <c:pt idx="2">
                  <c:v>Civil Society actor in demonstration country </c:v>
                </c:pt>
                <c:pt idx="3">
                  <c:v>Other</c:v>
                </c:pt>
              </c:strCache>
            </c:strRef>
          </c:cat>
          <c:val>
            <c:numRef>
              <c:extLst>
                <c:ext xmlns:c15="http://schemas.microsoft.com/office/drawing/2012/chart" uri="{02D57815-91ED-43cb-92C2-25804820EDAC}">
                  <c15:fullRef>
                    <c15:sqref>'Quant analysis'!$AK$2:$AK$14</c15:sqref>
                  </c15:fullRef>
                </c:ext>
              </c:extLst>
              <c:f>('Quant analysis'!$AK$2:$AK$4,'Quant analysis'!$AK$14)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33C-4F36-8355-A89CF6F205EF}"/>
            </c:ext>
          </c:extLst>
        </c:ser>
        <c:dLbls>
          <c:dLblPos val="outEnd"/>
          <c:showLegendKey val="0"/>
          <c:showVal val="1"/>
          <c:showCatName val="0"/>
          <c:showSerName val="0"/>
          <c:showPercent val="0"/>
          <c:showBubbleSize val="0"/>
        </c:dLbls>
        <c:gapWidth val="182"/>
        <c:axId val="433279696"/>
        <c:axId val="122534976"/>
      </c:barChart>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valAx>
        <c:axId val="122534976"/>
        <c:scaling>
          <c:orientation val="minMax"/>
          <c:max val="15"/>
        </c:scaling>
        <c:delete val="1"/>
        <c:axPos val="t"/>
        <c:numFmt formatCode="General" sourceLinked="1"/>
        <c:majorTickMark val="out"/>
        <c:minorTickMark val="none"/>
        <c:tickLblPos val="nextTo"/>
        <c:crossAx val="4332796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analysis'!$AT$2:$AT$9</c15:sqref>
                  </c15:fullRef>
                </c:ext>
              </c:extLst>
              <c:f>'Quant analysis'!$AT$2:$AT$7</c:f>
              <c:strCache>
                <c:ptCount val="6"/>
                <c:pt idx="0">
                  <c:v>Commitment</c:v>
                </c:pt>
                <c:pt idx="1">
                  <c:v>Coordination</c:v>
                </c:pt>
                <c:pt idx="2">
                  <c:v>Service Delivery</c:v>
                </c:pt>
                <c:pt idx="3">
                  <c:v>Legislation/policy</c:v>
                </c:pt>
                <c:pt idx="4">
                  <c:v>Social Norms</c:v>
                </c:pt>
                <c:pt idx="5">
                  <c:v>Financing</c:v>
                </c:pt>
              </c:strCache>
            </c:strRef>
          </c:cat>
          <c:val>
            <c:numRef>
              <c:extLst>
                <c:ext xmlns:c15="http://schemas.microsoft.com/office/drawing/2012/chart" uri="{02D57815-91ED-43cb-92C2-25804820EDAC}">
                  <c15:fullRef>
                    <c15:sqref>'Quant analysis'!$AX$2:$AX$9</c15:sqref>
                  </c15:fullRef>
                </c:ext>
              </c:extLst>
              <c:f>'Quant analysis'!$AX$2:$AX$7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0F7-44FC-9D65-CAE424B90763}"/>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15"/>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'Quant analysis'!$CI$1</c:f>
              <c:strCache>
                <c:ptCount val="1"/>
                <c:pt idx="0">
                  <c:v>All</c:v>
                </c:pt>
              </c:strCache>
            </c:strRef>
          </c:tx>
          <c:dPt>
            <c:idx val="0"/>
            <c:bubble3D val="0"/>
            <c:spPr>
              <a:solidFill>
                <a:srgbClr val="7095AC"/>
              </a:solidFill>
              <a:ln w="19050">
                <a:solidFill>
                  <a:schemeClr val="lt1"/>
                </a:solidFill>
              </a:ln>
              <a:effectLst/>
            </c:spPr>
            <c:extLst>
              <c:ext xmlns:c16="http://schemas.microsoft.com/office/drawing/2014/chart" uri="{C3380CC4-5D6E-409C-BE32-E72D297353CC}">
                <c16:uniqueId val="{00000001-FE48-4AC8-AACB-AAD8741F30AB}"/>
              </c:ext>
            </c:extLst>
          </c:dPt>
          <c:dPt>
            <c:idx val="1"/>
            <c:bubble3D val="0"/>
            <c:spPr>
              <a:solidFill>
                <a:srgbClr val="79A02C"/>
              </a:solidFill>
              <a:ln w="19050">
                <a:solidFill>
                  <a:schemeClr val="lt1"/>
                </a:solidFill>
              </a:ln>
              <a:effectLst/>
            </c:spPr>
            <c:extLst>
              <c:ext xmlns:c16="http://schemas.microsoft.com/office/drawing/2014/chart" uri="{C3380CC4-5D6E-409C-BE32-E72D297353CC}">
                <c16:uniqueId val="{00000003-FE48-4AC8-AACB-AAD8741F30AB}"/>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5-FE48-4AC8-AACB-AAD8741F30AB}"/>
              </c:ext>
            </c:extLst>
          </c:dPt>
          <c:dPt>
            <c:idx val="3"/>
            <c:bubble3D val="0"/>
            <c:spPr>
              <a:solidFill>
                <a:srgbClr val="00468B"/>
              </a:solidFill>
              <a:ln w="19050">
                <a:solidFill>
                  <a:schemeClr val="lt1"/>
                </a:solidFill>
              </a:ln>
              <a:effectLst/>
            </c:spPr>
            <c:extLst>
              <c:ext xmlns:c16="http://schemas.microsoft.com/office/drawing/2014/chart" uri="{C3380CC4-5D6E-409C-BE32-E72D297353CC}">
                <c16:uniqueId val="{00000007-FE48-4AC8-AACB-AAD8741F30A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strRef>
          </c:cat>
          <c:val>
            <c:numRef>
              <c:f>'Quant analysis'!$CI$2:$CI$5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FE48-4AC8-AACB-AAD8741F30AB}"/>
            </c:ext>
          </c:extLst>
        </c:ser>
        <c:dLbls>
          <c:dLblPos val="in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'Quant analysis'!$CJ$1</c15:sqref>
                        </c15:formulaRef>
                      </c:ext>
                    </c:extLst>
                    <c:strCache>
                      <c:ptCount val="1"/>
                      <c:pt idx="0">
                        <c:v>Guatemala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2E75-4FE4-931E-959C6AF2D0C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2E75-4FE4-931E-959C6AF2D0C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D-2E75-4FE4-931E-959C6AF2D0C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F-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analysis'!$CJ$2:$CJ$5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B-FE48-4AC8-AACB-AAD8741F30A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5-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7-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C-FE48-4AC8-AACB-AAD8741F30A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D-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F-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D-FE48-4AC8-AACB-AAD8741F30A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1-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3-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5-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7-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analysis'!$CM$2:$CM$5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E-FE48-4AC8-AACB-AAD8741F30A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9-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B-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D-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F-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analysis'!$CN$2:$CN$5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F-FE48-4AC8-AACB-AAD8741F30A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1-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3-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5-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7-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analysis'!$CO$2:$CO$5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0-FE48-4AC8-AACB-AAD8741F30AB}"/>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analysis'!$CP$2:$CP$5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1-FE48-4AC8-AACB-AAD8741F30AB}"/>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1-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3-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5-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7-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2-FE48-4AC8-AACB-AAD8741F30AB}"/>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analysis'!$CR$2:$CR$5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3-FE48-4AC8-AACB-AAD8741F30AB}"/>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1-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3-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5-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7-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4-FE48-4AC8-AACB-AAD8741F30AB}"/>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9-2E75-4FE4-931E-959C6AF2D0C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B-2E75-4FE4-931E-959C6AF2D0C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D-2E75-4FE4-931E-959C6AF2D0C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F-2E75-4FE4-931E-959C6AF2D0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5-FE48-4AC8-AACB-AAD8741F30AB}"/>
                  </c:ext>
                </c:extLst>
              </c15:ser>
            </c15:filteredPieSeries>
          </c:ext>
        </c:extLst>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'Quant analysis'!$CJ$1</c:f>
              <c:strCache>
                <c:ptCount val="1"/>
                <c:pt idx="0">
                  <c:v>Guatemala</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A799-42C9-A1D7-46FB0AE522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A799-42C9-A1D7-46FB0AE5223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A799-42C9-A1D7-46FB0AE522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A799-42C9-A1D7-46FB0AE5223E}"/>
              </c:ext>
            </c:extLst>
          </c:dPt>
          <c:dLbls>
            <c:dLbl>
              <c:idx val="0"/>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5321272664414246"/>
                      <c:h val="0.21114688573498819"/>
                    </c:manualLayout>
                  </c15:layout>
                </c:ext>
                <c:ext xmlns:c16="http://schemas.microsoft.com/office/drawing/2014/chart" uri="{C3380CC4-5D6E-409C-BE32-E72D297353CC}">
                  <c16:uniqueId val="{0000000A-A799-42C9-A1D7-46FB0AE5223E}"/>
                </c:ext>
              </c:extLst>
            </c:dLbl>
            <c:dLbl>
              <c:idx val="2"/>
              <c:layout>
                <c:manualLayout>
                  <c:x val="-0.16112531158118132"/>
                  <c:y val="1.17450510100512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A799-42C9-A1D7-46FB0AE5223E}"/>
                </c:ext>
              </c:extLst>
            </c:dLbl>
            <c:dLbl>
              <c:idx val="3"/>
              <c:delete val="1"/>
              <c:extLst>
                <c:ext xmlns:c15="http://schemas.microsoft.com/office/drawing/2012/chart" uri="{CE6537A1-D6FC-4f65-9D91-7224C49458BB}"/>
                <c:ext xmlns:c16="http://schemas.microsoft.com/office/drawing/2014/chart" uri="{C3380CC4-5D6E-409C-BE32-E72D297353CC}">
                  <c16:uniqueId val="{00000010-A799-42C9-A1D7-46FB0AE522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extLst xmlns:c15="http://schemas.microsoft.com/office/drawing/2012/chart"/>
            </c:strRef>
          </c:cat>
          <c:val>
            <c:numRef>
              <c:f>'Quant analysis'!$CJ$2:$CJ$5</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11-A799-42C9-A1D7-46FB0AE5223E}"/>
            </c:ext>
          </c:extLst>
        </c:ser>
        <c:dLbls>
          <c:dLblPos val="in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99-42C9-A1D7-46FB0AE522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99-42C9-A1D7-46FB0AE5223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99-42C9-A1D7-46FB0AE522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99-42C9-A1D7-46FB0AE5223E}"/>
                    </c:ext>
                  </c:extLst>
                </c:dPt>
                <c:dLbls>
                  <c:delete val="1"/>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analysis'!$CI$2:$CI$5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799-42C9-A1D7-46FB0AE5223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A799-42C9-A1D7-46FB0AE5223E}"/>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A799-42C9-A1D7-46FB0AE5223E}"/>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analysis'!$CM$2:$CM$5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A799-42C9-A1D7-46FB0AE5223E}"/>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analysis'!$CN$2:$CN$5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A799-42C9-A1D7-46FB0AE5223E}"/>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analysis'!$CO$2:$CO$5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A799-42C9-A1D7-46FB0AE5223E}"/>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4-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6-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analysis'!$CP$2:$CP$5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A799-42C9-A1D7-46FB0AE5223E}"/>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0-A799-42C9-A1D7-46FB0AE5223E}"/>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6-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8-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analysis'!$CR$2:$CR$5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9-A799-42C9-A1D7-46FB0AE5223E}"/>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F-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1-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2-A799-42C9-A1D7-46FB0AE5223E}"/>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A799-42C9-A1D7-46FB0AE5223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A799-42C9-A1D7-46FB0AE5223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A799-42C9-A1D7-46FB0AE5223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A799-42C9-A1D7-46FB0AE5223E}"/>
                    </c:ext>
                  </c:extLst>
                </c:dPt>
                <c:dLbls>
                  <c:delete val="1"/>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B-A799-42C9-A1D7-46FB0AE5223E}"/>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'Quant analysis'!$CM$1</c:f>
              <c:strCache>
                <c:ptCount val="1"/>
                <c:pt idx="0">
                  <c:v>Kenya</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8B26-4867-AE14-C91B9C497764}"/>
              </c:ext>
            </c:extLst>
          </c:dPt>
          <c:dLbls>
            <c:dLbl>
              <c:idx val="0"/>
              <c:layout>
                <c:manualLayout>
                  <c:x val="-2.6854218596863638E-2"/>
                  <c:y val="2.3065996891626258E-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30991424623346"/>
                      <c:h val="0.1754994826296897"/>
                    </c:manualLayout>
                  </c15:layout>
                </c:ext>
                <c:ext xmlns:c16="http://schemas.microsoft.com/office/drawing/2014/chart" uri="{C3380CC4-5D6E-409C-BE32-E72D297353CC}">
                  <c16:uniqueId val="{00000025-8B26-4867-AE14-C91B9C497764}"/>
                </c:ext>
              </c:extLst>
            </c:dLbl>
            <c:dLbl>
              <c:idx val="2"/>
              <c:delete val="1"/>
              <c:extLst>
                <c:ext xmlns:c15="http://schemas.microsoft.com/office/drawing/2012/chart" uri="{CE6537A1-D6FC-4f65-9D91-7224C49458BB}"/>
                <c:ext xmlns:c16="http://schemas.microsoft.com/office/drawing/2014/chart" uri="{C3380CC4-5D6E-409C-BE32-E72D297353CC}">
                  <c16:uniqueId val="{00000029-8B26-4867-AE14-C91B9C497764}"/>
                </c:ext>
              </c:extLst>
            </c:dLbl>
            <c:dLbl>
              <c:idx val="3"/>
              <c:layout>
                <c:manualLayout>
                  <c:x val="0.16560119088944203"/>
                  <c:y val="2.343505284189227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760229184192094"/>
                      <c:h val="0.14629331736551254"/>
                    </c:manualLayout>
                  </c15:layout>
                </c:ext>
                <c:ext xmlns:c16="http://schemas.microsoft.com/office/drawing/2014/chart" uri="{C3380CC4-5D6E-409C-BE32-E72D297353CC}">
                  <c16:uniqueId val="{0000002B-8B26-4867-AE14-C91B9C4977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extLst xmlns:c15="http://schemas.microsoft.com/office/drawing/2012/chart"/>
            </c:strRef>
          </c:cat>
          <c:val>
            <c:numRef>
              <c:f>'Quant analysis'!$CM$2:$CM$5</c:f>
              <c:numCache>
                <c:formatCode>General</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2C-8B26-4867-AE14-C91B9C497764}"/>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rgbClr val="7095AC"/>
                    </a:solidFill>
                    <a:ln w="19050">
                      <a:solidFill>
                        <a:schemeClr val="lt1"/>
                      </a:solidFill>
                    </a:ln>
                    <a:effectLst/>
                  </c:spPr>
                  <c:extLst>
                    <c:ext xmlns:c16="http://schemas.microsoft.com/office/drawing/2014/chart" uri="{C3380CC4-5D6E-409C-BE32-E72D297353CC}">
                      <c16:uniqueId val="{0000000A-8B26-4867-AE14-C91B9C497764}"/>
                    </c:ext>
                  </c:extLst>
                </c:dPt>
                <c:dPt>
                  <c:idx val="1"/>
                  <c:bubble3D val="0"/>
                  <c:spPr>
                    <a:solidFill>
                      <a:srgbClr val="79A02C"/>
                    </a:solidFill>
                    <a:ln w="19050">
                      <a:solidFill>
                        <a:schemeClr val="lt1"/>
                      </a:solidFill>
                    </a:ln>
                    <a:effectLst/>
                  </c:spPr>
                  <c:extLst>
                    <c:ext xmlns:c16="http://schemas.microsoft.com/office/drawing/2014/chart" uri="{C3380CC4-5D6E-409C-BE32-E72D297353CC}">
                      <c16:uniqueId val="{0000000C-8B26-4867-AE14-C91B9C497764}"/>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E-8B26-4867-AE14-C91B9C497764}"/>
                    </c:ext>
                  </c:extLst>
                </c:dPt>
                <c:dPt>
                  <c:idx val="3"/>
                  <c:bubble3D val="0"/>
                  <c:spPr>
                    <a:solidFill>
                      <a:srgbClr val="00468B"/>
                    </a:solidFill>
                    <a:ln w="19050">
                      <a:solidFill>
                        <a:schemeClr val="lt1"/>
                      </a:solidFill>
                    </a:ln>
                    <a:effectLst/>
                  </c:spPr>
                  <c:extLst>
                    <c:ext xmlns:c16="http://schemas.microsoft.com/office/drawing/2014/chart" uri="{C3380CC4-5D6E-409C-BE32-E72D297353CC}">
                      <c16:uniqueId val="{00000010-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analysis'!$CI$2:$CI$5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8B26-4867-AE14-C91B9C49776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01-8B26-4867-AE14-C91B9C497764}"/>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03-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analysis'!$CJ$2:$CJ$5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8B26-4867-AE14-C91B9C49776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3-8B26-4867-AE14-C91B9C497764}"/>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5-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8B26-4867-AE14-C91B9C497764}"/>
                    </c:ext>
                  </c:extLst>
                </c:dPt>
                <c:dPt>
                  <c:idx val="3"/>
                  <c:bubble3D val="0"/>
                  <c:spPr>
                    <a:solidFill>
                      <a:srgbClr val="00468B"/>
                    </a:solidFill>
                    <a:ln w="19050">
                      <a:solidFill>
                        <a:schemeClr val="lt1"/>
                      </a:solidFill>
                    </a:ln>
                    <a:effectLst/>
                  </c:spPr>
                  <c:extLst xmlns:c15="http://schemas.microsoft.com/office/drawing/2012/chart">
                    <c:ext xmlns:c16="http://schemas.microsoft.com/office/drawing/2014/chart" uri="{C3380CC4-5D6E-409C-BE32-E72D297353CC}">
                      <c16:uniqueId val="{00000019-8B26-4867-AE14-C91B9C497764}"/>
                    </c:ext>
                  </c:extLst>
                </c:dPt>
                <c:dLbls>
                  <c:dLbl>
                    <c:idx val="0"/>
                    <c:dLblPos val="bestFit"/>
                    <c:showLegendKey val="0"/>
                    <c:showVal val="1"/>
                    <c:showCatName val="1"/>
                    <c:showSerName val="0"/>
                    <c:showPercent val="0"/>
                    <c:showBubbleSize val="0"/>
                    <c:separator>
</c:separator>
                    <c:extLst xmlns:c15="http://schemas.microsoft.com/office/drawing/2012/chart">
                      <c:ext xmlns:c15="http://schemas.microsoft.com/office/drawing/2012/chart" uri="{CE6537A1-D6FC-4f65-9D91-7224C49458BB}">
                        <c15:layout>
                          <c:manualLayout>
                            <c:w val="0.22188280494780163"/>
                            <c:h val="0.21065206189252814"/>
                          </c:manualLayout>
                        </c15:layout>
                      </c:ext>
                      <c:ext xmlns:c16="http://schemas.microsoft.com/office/drawing/2014/chart" uri="{C3380CC4-5D6E-409C-BE32-E72D297353CC}">
                        <c16:uniqueId val="{00000013-8B26-4867-AE14-C91B9C497764}"/>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7-8B26-4867-AE14-C91B9C497764}"/>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9-8B26-4867-AE14-C91B9C4977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8B26-4867-AE14-C91B9C497764}"/>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8B26-4867-AE14-C91B9C497764}"/>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analysis'!$CN$2:$CN$5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8B26-4867-AE14-C91B9C497764}"/>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analysis'!$CO$2:$CO$5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8B26-4867-AE14-C91B9C497764}"/>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4-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6-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analysis'!$CP$2:$CP$5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8B26-4867-AE14-C91B9C497764}"/>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0-8B26-4867-AE14-C91B9C497764}"/>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6-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8-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analysis'!$CR$2:$CR$5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9-8B26-4867-AE14-C91B9C497764}"/>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F-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1-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2-8B26-4867-AE14-C91B9C497764}"/>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8B26-4867-AE14-C91B9C4977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8B26-4867-AE14-C91B9C4977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8B26-4867-AE14-C91B9C4977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8B26-4867-AE14-C91B9C497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B-8B26-4867-AE14-C91B9C497764}"/>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'Quant analysis'!$CN$1</c:f>
              <c:strCache>
                <c:ptCount val="1"/>
                <c:pt idx="0">
                  <c:v>Moldova</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F6B3-40D1-8789-4F63A8C7768E}"/>
              </c:ext>
            </c:extLst>
          </c:dPt>
          <c:dLbls>
            <c:dLbl>
              <c:idx val="0"/>
              <c:layout>
                <c:manualLayout>
                  <c:x val="-5.8183964084420926E-2"/>
                  <c:y val="4.101134247331151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321272664414246"/>
                      <c:h val="0.21065206189252814"/>
                    </c:manualLayout>
                  </c15:layout>
                </c:ext>
                <c:ext xmlns:c16="http://schemas.microsoft.com/office/drawing/2014/chart" uri="{C3380CC4-5D6E-409C-BE32-E72D297353CC}">
                  <c16:uniqueId val="{0000002E-F6B3-40D1-8789-4F63A8C7768E}"/>
                </c:ext>
              </c:extLst>
            </c:dLbl>
            <c:dLbl>
              <c:idx val="2"/>
              <c:layout>
                <c:manualLayout>
                  <c:x val="-0.1342710929843178"/>
                  <c:y val="3.515257926283842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2-F6B3-40D1-8789-4F63A8C7768E}"/>
                </c:ext>
              </c:extLst>
            </c:dLbl>
            <c:dLbl>
              <c:idx val="3"/>
              <c:delete val="1"/>
              <c:extLst>
                <c:ext xmlns:c15="http://schemas.microsoft.com/office/drawing/2012/chart" uri="{CE6537A1-D6FC-4f65-9D91-7224C49458BB}"/>
                <c:ext xmlns:c16="http://schemas.microsoft.com/office/drawing/2014/chart" uri="{C3380CC4-5D6E-409C-BE32-E72D297353CC}">
                  <c16:uniqueId val="{00000034-F6B3-40D1-8789-4F63A8C77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extLst xmlns:c15="http://schemas.microsoft.com/office/drawing/2012/chart"/>
            </c:strRef>
          </c:cat>
          <c:val>
            <c:numRef>
              <c:f>'Quant analysis'!$CN$2:$CN$5</c:f>
              <c:numCache>
                <c:formatCode>General</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35-F6B3-40D1-8789-4F63A8C7768E}"/>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rgbClr val="7095AC"/>
                    </a:solidFill>
                    <a:ln w="19050">
                      <a:solidFill>
                        <a:schemeClr val="lt1"/>
                      </a:solidFill>
                    </a:ln>
                    <a:effectLst/>
                  </c:spPr>
                  <c:extLst>
                    <c:ext xmlns:c16="http://schemas.microsoft.com/office/drawing/2014/chart" uri="{C3380CC4-5D6E-409C-BE32-E72D297353CC}">
                      <c16:uniqueId val="{0000000A-F6B3-40D1-8789-4F63A8C7768E}"/>
                    </c:ext>
                  </c:extLst>
                </c:dPt>
                <c:dPt>
                  <c:idx val="1"/>
                  <c:bubble3D val="0"/>
                  <c:spPr>
                    <a:solidFill>
                      <a:srgbClr val="79A02C"/>
                    </a:solidFill>
                    <a:ln w="19050">
                      <a:solidFill>
                        <a:schemeClr val="lt1"/>
                      </a:solidFill>
                    </a:ln>
                    <a:effectLst/>
                  </c:spPr>
                  <c:extLst>
                    <c:ext xmlns:c16="http://schemas.microsoft.com/office/drawing/2014/chart" uri="{C3380CC4-5D6E-409C-BE32-E72D297353CC}">
                      <c16:uniqueId val="{0000000C-F6B3-40D1-8789-4F63A8C7768E}"/>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E-F6B3-40D1-8789-4F63A8C7768E}"/>
                    </c:ext>
                  </c:extLst>
                </c:dPt>
                <c:dPt>
                  <c:idx val="3"/>
                  <c:bubble3D val="0"/>
                  <c:spPr>
                    <a:solidFill>
                      <a:srgbClr val="00468B"/>
                    </a:solidFill>
                    <a:ln w="19050">
                      <a:solidFill>
                        <a:schemeClr val="lt1"/>
                      </a:solidFill>
                    </a:ln>
                    <a:effectLst/>
                  </c:spPr>
                  <c:extLst>
                    <c:ext xmlns:c16="http://schemas.microsoft.com/office/drawing/2014/chart" uri="{C3380CC4-5D6E-409C-BE32-E72D297353CC}">
                      <c16:uniqueId val="{00000010-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analysis'!$CI$2:$CI$5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F6B3-40D1-8789-4F63A8C7768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3-F6B3-40D1-8789-4F63A8C7768E}"/>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5-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analysis'!$CJ$2:$CJ$5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F6B3-40D1-8789-4F63A8C7768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01-F6B3-40D1-8789-4F63A8C7768E}"/>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03-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F6B3-40D1-8789-4F63A8C7768E}"/>
                    </c:ext>
                  </c:extLst>
                </c:dPt>
                <c:dPt>
                  <c:idx val="3"/>
                  <c:bubble3D val="0"/>
                  <c:spPr>
                    <a:solidFill>
                      <a:srgbClr val="00468B"/>
                    </a:solidFill>
                    <a:ln w="19050">
                      <a:solidFill>
                        <a:schemeClr val="lt1"/>
                      </a:solidFill>
                    </a:ln>
                    <a:effectLst/>
                  </c:spPr>
                  <c:extLst xmlns:c15="http://schemas.microsoft.com/office/drawing/2012/chart">
                    <c:ext xmlns:c16="http://schemas.microsoft.com/office/drawing/2014/chart" uri="{C3380CC4-5D6E-409C-BE32-E72D297353CC}">
                      <c16:uniqueId val="{00000007-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F6B3-40D1-8789-4F63A8C7768E}"/>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C-F6B3-40D1-8789-4F63A8C7768E}"/>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E-F6B3-40D1-8789-4F63A8C7768E}"/>
                    </c:ext>
                  </c:extLst>
                </c:dPt>
                <c:dPt>
                  <c:idx val="2"/>
                  <c:bubble3D val="0"/>
                  <c:spPr>
                    <a:solidFill>
                      <a:srgbClr val="A25EB5"/>
                    </a:solidFill>
                    <a:ln w="19050">
                      <a:solidFill>
                        <a:schemeClr val="lt1"/>
                      </a:solidFill>
                    </a:ln>
                    <a:effectLst/>
                  </c:spPr>
                  <c:extLst xmlns:c15="http://schemas.microsoft.com/office/drawing/2012/chart">
                    <c:ext xmlns:c16="http://schemas.microsoft.com/office/drawing/2014/chart" uri="{C3380CC4-5D6E-409C-BE32-E72D297353CC}">
                      <c16:uniqueId val="{00000020-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F6B3-40D1-8789-4F63A8C7768E}"/>
                    </c:ext>
                  </c:extLst>
                </c:dPt>
                <c:dLbls>
                  <c:dLbl>
                    <c:idx val="0"/>
                    <c:dLblPos val="bestFit"/>
                    <c:showLegendKey val="0"/>
                    <c:showVal val="1"/>
                    <c:showCatName val="1"/>
                    <c:showSerName val="0"/>
                    <c:showPercent val="0"/>
                    <c:showBubbleSize val="0"/>
                    <c:separator>
</c:separator>
                    <c:extLst xmlns:c15="http://schemas.microsoft.com/office/drawing/2012/chart">
                      <c:ext xmlns:c15="http://schemas.microsoft.com/office/drawing/2012/chart" uri="{CE6537A1-D6FC-4f65-9D91-7224C49458BB}">
                        <c15:layout>
                          <c:manualLayout>
                            <c:w val="0.24873702354466523"/>
                            <c:h val="0.21065206189252814"/>
                          </c:manualLayout>
                        </c15:layout>
                      </c:ext>
                      <c:ext xmlns:c16="http://schemas.microsoft.com/office/drawing/2014/chart" uri="{C3380CC4-5D6E-409C-BE32-E72D297353CC}">
                        <c16:uniqueId val="{0000001C-F6B3-40D1-8789-4F63A8C7768E}"/>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0-F6B3-40D1-8789-4F63A8C7768E}"/>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2-F6B3-40D1-8789-4F63A8C77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F6B3-40D1-8789-4F63A8C7768E}"/>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analysis'!$CM$2:$CM$5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F6B3-40D1-8789-4F63A8C7768E}"/>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analysis'!$CO$2:$CO$5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F6B3-40D1-8789-4F63A8C7768E}"/>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4-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6-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analysis'!$CP$2:$CP$5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F6B3-40D1-8789-4F63A8C7768E}"/>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0-F6B3-40D1-8789-4F63A8C7768E}"/>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6-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8-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analysis'!$CR$2:$CR$5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9-F6B3-40D1-8789-4F63A8C7768E}"/>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F-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1-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2-F6B3-40D1-8789-4F63A8C7768E}"/>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F6B3-40D1-8789-4F63A8C7768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F6B3-40D1-8789-4F63A8C7768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F6B3-40D1-8789-4F63A8C7768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F6B3-40D1-8789-4F63A8C77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B-F6B3-40D1-8789-4F63A8C7768E}"/>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'Quant analysis'!$CL$1</c:f>
              <c:strCache>
                <c:ptCount val="1"/>
                <c:pt idx="0">
                  <c:v>India</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DA33-4B54-B7D1-600073652F0A}"/>
              </c:ext>
            </c:extLst>
          </c:dPt>
          <c:dLbls>
            <c:dLbl>
              <c:idx val="0"/>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3332085837497768"/>
                      <c:h val="0.20994340255906868"/>
                    </c:manualLayout>
                  </c15:layout>
                </c:ext>
                <c:ext xmlns:c16="http://schemas.microsoft.com/office/drawing/2014/chart" uri="{C3380CC4-5D6E-409C-BE32-E72D297353CC}">
                  <c16:uniqueId val="{00000001-DA33-4B54-B7D1-600073652F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ext>
              </c:extLst>
              <c:f>'Quant analysis'!$CH$2:$CH$3</c:f>
              <c:strCache>
                <c:ptCount val="2"/>
                <c:pt idx="0">
                  <c:v>subnational</c:v>
                </c:pt>
                <c:pt idx="1">
                  <c:v>national</c:v>
                </c:pt>
              </c:strCache>
            </c:strRef>
          </c:cat>
          <c:val>
            <c:numRef>
              <c:extLst>
                <c:ext xmlns:c15="http://schemas.microsoft.com/office/drawing/2012/chart" uri="{02D57815-91ED-43cb-92C2-25804820EDAC}">
                  <c15:fullRef>
                    <c15:sqref>'Quant analysis'!$CL$2:$CL$5</c15:sqref>
                  </c15:fullRef>
                </c:ext>
              </c:extLst>
              <c:f>'Quant analysis'!$CL$2:$CL$3</c:f>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analysis'!$CL$4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analysis'!$CL$5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DA33-4B54-B7D1-600073652F0A}"/>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DA33-4B54-B7D1-600073652F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uri="{02D57815-91ED-43cb-92C2-25804820EDAC}">
                        <c15:fullRef>
                          <c15:sqref>'Quant analysis'!$CI$2:$CI$5</c15:sqref>
                        </c15:fullRef>
                        <c15:formulaRef>
                          <c15:sqref>'Quant analysis'!$CI$2:$CI$3</c15:sqref>
                        </c15:formulaRef>
                      </c:ext>
                    </c:extLst>
                    <c:numCache>
                      <c:formatCode>General</c:formatCode>
                      <c:ptCount val="2"/>
                      <c:pt idx="0">
                        <c:v>0</c:v>
                      </c:pt>
                      <c:pt idx="1">
                        <c:v>0</c:v>
                      </c:pt>
                    </c:numCache>
                  </c:numRef>
                </c:val>
                <c:extLst>
                  <c:ext uri="{02D57815-91ED-43cb-92C2-25804820EDAC}">
                    <c15:categoryFilterExceptions>
                      <c15:categoryFilterException>
                        <c15:sqref>'Quant analysis'!$CI$4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analysis'!$CI$5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1-DA33-4B54-B7D1-600073652F0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analysis'!$CJ$2:$CJ$5</c15:sqref>
                        </c15:fullRef>
                        <c15:formulaRef>
                          <c15:sqref>'Quant analysis'!$CJ$2:$CJ$3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analysis'!$CJ$4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analysis'!$CJ$5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A-DA33-4B54-B7D1-600073652F0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analysis'!$CK$2:$CK$5</c15:sqref>
                        </c15:fullRef>
                        <c15:formulaRef>
                          <c15:sqref>'Quant analysis'!$CK$2:$CK$3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analysis'!$CK$4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analysis'!$CK$5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23-DA33-4B54-B7D1-600073652F0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analysis'!$CM$2:$CM$5</c15:sqref>
                        </c15:fullRef>
                        <c15:formulaRef>
                          <c15:sqref>'Quant analysis'!$CM$2:$CM$3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analysis'!$CM$4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analysis'!$CM$5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2C-DA33-4B54-B7D1-600073652F0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analysis'!$CN$2:$CN$5</c15:sqref>
                        </c15:fullRef>
                        <c15:formulaRef>
                          <c15:sqref>'Quant analysis'!$CN$2:$CN$3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analysis'!$CN$4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analysis'!$CN$5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35-DA33-4B54-B7D1-600073652F0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analysis'!$CO$2:$CO$5</c15:sqref>
                        </c15:fullRef>
                        <c15:formulaRef>
                          <c15:sqref>'Quant analysis'!$CO$2:$CO$3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analysis'!$CO$4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analysis'!$CO$5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3E-DA33-4B54-B7D1-600073652F0A}"/>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analysis'!$CP$2:$CP$5</c15:sqref>
                        </c15:fullRef>
                        <c15:formulaRef>
                          <c15:sqref>'Quant analysis'!$CP$2:$CP$3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analysis'!$CP$4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analysis'!$CP$5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47-DA33-4B54-B7D1-600073652F0A}"/>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analysis'!$CQ$2:$CQ$5</c15:sqref>
                        </c15:fullRef>
                        <c15:formulaRef>
                          <c15:sqref>'Quant analysis'!$CQ$2:$CQ$3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analysis'!$CQ$4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analysis'!$CQ$5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50-DA33-4B54-B7D1-600073652F0A}"/>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analysis'!$CR$2:$CR$5</c15:sqref>
                        </c15:fullRef>
                        <c15:formulaRef>
                          <c15:sqref>'Quant analysis'!$CR$2:$CR$3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analysis'!$CR$4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analysis'!$CR$5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59-DA33-4B54-B7D1-600073652F0A}"/>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analysis'!$CS$2:$CS$5</c15:sqref>
                        </c15:fullRef>
                        <c15:formulaRef>
                          <c15:sqref>'Quant analysis'!$CS$2:$CS$3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analysis'!$CS$4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analysis'!$CS$5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62-DA33-4B54-B7D1-600073652F0A}"/>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DA33-4B54-B7D1-600073652F0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DA33-4B54-B7D1-600073652F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analysis'!$CT$2:$CT$5</c15:sqref>
                        </c15:fullRef>
                        <c15:formulaRef>
                          <c15:sqref>'Quant analysis'!$CT$2:$CT$3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analysis'!$CT$4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analysis'!$CT$5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6B-DA33-4B54-B7D1-600073652F0A}"/>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A0E-4E74-882F-A2CB4173C45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A0E-4E74-882F-A2CB4173C45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BA0E-4E74-882F-A2CB4173C45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analysis'!$D$2:$D$3</c:f>
              <c:strCache>
                <c:ptCount val="2"/>
                <c:pt idx="0">
                  <c:v>Yes</c:v>
                </c:pt>
                <c:pt idx="1">
                  <c:v>No</c:v>
                </c:pt>
              </c:strCache>
            </c:strRef>
          </c:cat>
          <c:val>
            <c:numRef>
              <c:f>'Quant analysis'!$M$2:$M$3</c:f>
              <c:numCache>
                <c:formatCode>General</c:formatCode>
                <c:ptCount val="2"/>
                <c:pt idx="0">
                  <c:v>0</c:v>
                </c:pt>
                <c:pt idx="1">
                  <c:v>0</c:v>
                </c:pt>
              </c:numCache>
            </c:numRef>
          </c:val>
          <c:extLst>
            <c:ext xmlns:c16="http://schemas.microsoft.com/office/drawing/2014/chart" uri="{C3380CC4-5D6E-409C-BE32-E72D297353CC}">
              <c16:uniqueId val="{00000004-BA0E-4E74-882F-A2CB4173C450}"/>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analysis'!$AC$2:$AC$29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931A-427D-8DFF-68C4CCB60103}"/>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A25EB5"/>
              </a:solidFill>
              <a:round/>
            </a:ln>
            <a:effectLst/>
          </c:spPr>
          <c:marker>
            <c:symbol val="none"/>
          </c:marker>
          <c:trendline>
            <c:spPr>
              <a:ln w="19050" cap="rnd">
                <a:solidFill>
                  <a:schemeClr val="accent3"/>
                </a:solidFill>
                <a:prstDash val="sysDot"/>
              </a:ln>
              <a:effectLst/>
            </c:spPr>
            <c:trendlineType val="linear"/>
            <c:dispRSqr val="0"/>
            <c:dispEq val="0"/>
          </c:trendline>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analysis'!$U$2:$U$29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C879-4F31-9530-2341C7E98CB2}"/>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477449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analysis'!$AG$6:$AG$9,'Quant analysis'!$AG$11)</c:f>
              <c:strCache>
                <c:ptCount val="5"/>
                <c:pt idx="0">
                  <c:v>PWLE network in demonstration country</c:v>
                </c:pt>
                <c:pt idx="1">
                  <c:v>Other Faith-Based actor </c:v>
                </c:pt>
                <c:pt idx="2">
                  <c:v>Other Civil Society actor  </c:v>
                </c:pt>
                <c:pt idx="3">
                  <c:v>Other Government</c:v>
                </c:pt>
                <c:pt idx="4">
                  <c:v>LAC regional actor </c:v>
                </c:pt>
              </c:strCache>
            </c:strRef>
          </c:cat>
          <c:val>
            <c:numRef>
              <c:extLst>
                <c:ext xmlns:c15="http://schemas.microsoft.com/office/drawing/2012/chart" uri="{02D57815-91ED-43cb-92C2-25804820EDAC}">
                  <c15:fullRef>
                    <c15:sqref>'Quant analysis'!$AP$2:$AP$14</c15:sqref>
                  </c15:fullRef>
                </c:ext>
              </c:extLst>
              <c:f>('Quant analysis'!$AP$6:$AP$9,'Quant analysis'!$AP$11)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E238-45E8-829F-6BF8D8DAE2C2}"/>
            </c:ext>
          </c:extLst>
        </c:ser>
        <c:dLbls>
          <c:dLblPos val="outEnd"/>
          <c:showLegendKey val="0"/>
          <c:showVal val="1"/>
          <c:showCatName val="0"/>
          <c:showSerName val="0"/>
          <c:showPercent val="0"/>
          <c:showBubbleSize val="0"/>
        </c:dLbls>
        <c:gapWidth val="182"/>
        <c:axId val="433279696"/>
        <c:axId val="122534976"/>
      </c:barChart>
      <c:valAx>
        <c:axId val="122534976"/>
        <c:scaling>
          <c:orientation val="minMax"/>
          <c:max val="10"/>
        </c:scaling>
        <c:delete val="1"/>
        <c:axPos val="t"/>
        <c:numFmt formatCode="General" sourceLinked="1"/>
        <c:majorTickMark val="out"/>
        <c:minorTickMark val="none"/>
        <c:tickLblPos val="nextTo"/>
        <c:crossAx val="433279696"/>
        <c:crosses val="autoZero"/>
        <c:crossBetween val="between"/>
        <c:majorUnit val="5"/>
      </c:valAx>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analysis'!$BC$2:$BC$9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537-4C1B-97C6-EF0D8DFBA1CC}"/>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40"/>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A-DE85-42DD-93BE-0543D339AF6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DE85-42DD-93BE-0543D339AF6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E-DE85-42DD-93BE-0543D339AF6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0-DE85-42DD-93BE-0543D339AF64}"/>
              </c:ext>
            </c:extLst>
          </c:dPt>
          <c:dLbls>
            <c:dLbl>
              <c:idx val="0"/>
              <c:layout>
                <c:manualLayout>
                  <c:x val="4.4757030994772511E-2"/>
                  <c:y val="8.22153950870521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2482397623577863"/>
                      <c:h val="0.21114698337010984"/>
                    </c:manualLayout>
                  </c15:layout>
                </c:ext>
                <c:ext xmlns:c16="http://schemas.microsoft.com/office/drawing/2014/chart" uri="{C3380CC4-5D6E-409C-BE32-E72D297353CC}">
                  <c16:uniqueId val="{0000000A-DE85-42DD-93BE-0543D339AF64}"/>
                </c:ext>
              </c:extLst>
            </c:dLbl>
            <c:dLbl>
              <c:idx val="1"/>
              <c:delete val="1"/>
              <c:extLst>
                <c:ext xmlns:c15="http://schemas.microsoft.com/office/drawing/2012/chart" uri="{CE6537A1-D6FC-4f65-9D91-7224C49458BB}"/>
                <c:ext xmlns:c16="http://schemas.microsoft.com/office/drawing/2014/chart" uri="{C3380CC4-5D6E-409C-BE32-E72D297353CC}">
                  <c16:uniqueId val="{0000000C-DE85-42DD-93BE-0543D339AF64}"/>
                </c:ext>
              </c:extLst>
            </c:dLbl>
            <c:dLbl>
              <c:idx val="2"/>
              <c:layout>
                <c:manualLayout>
                  <c:x val="-5.6307344239224538E-2"/>
                  <c:y val="6.113443446817611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E85-42DD-93BE-0543D339AF64}"/>
                </c:ext>
              </c:extLst>
            </c:dLbl>
            <c:dLbl>
              <c:idx val="3"/>
              <c:delete val="1"/>
              <c:extLst>
                <c:ext xmlns:c15="http://schemas.microsoft.com/office/drawing/2012/chart" uri="{CE6537A1-D6FC-4f65-9D91-7224C49458BB}"/>
                <c:ext xmlns:c16="http://schemas.microsoft.com/office/drawing/2014/chart" uri="{C3380CC4-5D6E-409C-BE32-E72D297353CC}">
                  <c16:uniqueId val="{00000010-DE85-42DD-93BE-0543D339AF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strRef>
          </c:cat>
          <c:val>
            <c:numRef>
              <c:f>'Quant analysis'!$CQ$2:$CQ$5</c:f>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1-DE85-42DD-93BE-0543D339AF64}"/>
            </c:ext>
          </c:extLst>
        </c:ser>
        <c:dLbls>
          <c:dLblPos val="outEnd"/>
          <c:showLegendKey val="0"/>
          <c:showVal val="1"/>
          <c:showCatName val="0"/>
          <c:showSerName val="0"/>
          <c:showPercent val="0"/>
          <c:showBubbleSize val="0"/>
          <c:showLeaderLines val="1"/>
        </c:dLbls>
        <c:firstSliceAng val="0"/>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51-4B18-B5A8-98179195EBC3}"/>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7051-4B18-B5A8-98179195EBC3}"/>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6-7051-4B18-B5A8-98179195EBC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analysis'!$D$2:$D$3</c:f>
              <c:strCache>
                <c:ptCount val="2"/>
                <c:pt idx="0">
                  <c:v>Yes</c:v>
                </c:pt>
                <c:pt idx="1">
                  <c:v>No</c:v>
                </c:pt>
              </c:strCache>
            </c:strRef>
          </c:cat>
          <c:val>
            <c:numRef>
              <c:f>'Quant analysis'!$L$2:$L$3</c:f>
              <c:numCache>
                <c:formatCode>General</c:formatCode>
                <c:ptCount val="2"/>
                <c:pt idx="0">
                  <c:v>0</c:v>
                </c:pt>
                <c:pt idx="1">
                  <c:v>0</c:v>
                </c:pt>
              </c:numCache>
            </c:numRef>
          </c:val>
          <c:extLst>
            <c:ext xmlns:c16="http://schemas.microsoft.com/office/drawing/2014/chart" uri="{C3380CC4-5D6E-409C-BE32-E72D297353CC}">
              <c16:uniqueId val="{00000004-7051-4B18-B5A8-98179195EBC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3"/>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analysis'!$AB$2:$AB$29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3877-4005-A819-5EC3AB49665D}"/>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analysis'!$AG$7:$AG$8,'Quant analysis'!$AG$10)</c:f>
              <c:strCache>
                <c:ptCount val="3"/>
                <c:pt idx="0">
                  <c:v>Other Faith-Based actor </c:v>
                </c:pt>
                <c:pt idx="1">
                  <c:v>Other Civil Society actor  </c:v>
                </c:pt>
                <c:pt idx="2">
                  <c:v>ESA regional actor </c:v>
                </c:pt>
              </c:strCache>
            </c:strRef>
          </c:cat>
          <c:val>
            <c:numRef>
              <c:extLst>
                <c:ext xmlns:c15="http://schemas.microsoft.com/office/drawing/2012/chart" uri="{02D57815-91ED-43cb-92C2-25804820EDAC}">
                  <c15:fullRef>
                    <c15:sqref>'Quant analysis'!$AO$2:$AO$14</c15:sqref>
                  </c15:fullRef>
                </c:ext>
              </c:extLst>
              <c:f>('Quant analysis'!$AO$7:$AO$8,'Quant analysis'!$AO$10)</c:f>
              <c:numCache>
                <c:formatCode>General</c:formatCode>
                <c:ptCount val="3"/>
                <c:pt idx="0">
                  <c:v>0</c:v>
                </c:pt>
                <c:pt idx="1">
                  <c:v>0</c:v>
                </c:pt>
                <c:pt idx="2">
                  <c:v>0</c:v>
                </c:pt>
              </c:numCache>
            </c:numRef>
          </c:val>
          <c:extLst>
            <c:ext xmlns:c16="http://schemas.microsoft.com/office/drawing/2014/chart" uri="{C3380CC4-5D6E-409C-BE32-E72D297353CC}">
              <c16:uniqueId val="{00000000-4003-4C93-A784-F731FBF7182C}"/>
            </c:ext>
          </c:extLst>
        </c:ser>
        <c:dLbls>
          <c:dLblPos val="outEnd"/>
          <c:showLegendKey val="0"/>
          <c:showVal val="1"/>
          <c:showCatName val="0"/>
          <c:showSerName val="0"/>
          <c:showPercent val="0"/>
          <c:showBubbleSize val="0"/>
        </c:dLbls>
        <c:gapWidth val="182"/>
        <c:axId val="433279696"/>
        <c:axId val="122534976"/>
      </c:barChart>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valAx>
        <c:axId val="122534976"/>
        <c:scaling>
          <c:orientation val="minMax"/>
          <c:max val="10"/>
        </c:scaling>
        <c:delete val="1"/>
        <c:axPos val="t"/>
        <c:numFmt formatCode="General" sourceLinked="1"/>
        <c:majorTickMark val="out"/>
        <c:minorTickMark val="none"/>
        <c:tickLblPos val="nextTo"/>
        <c:crossAx val="4332796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U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analysis'!$BB$2:$BB$9</c:f>
              <c:numCache>
                <c:formatCode>General</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2-CA41-4966-B695-461DD4B68939}"/>
            </c:ext>
          </c:extLst>
        </c:ser>
        <c:dLbls>
          <c:dLblPos val="outEnd"/>
          <c:showLegendKey val="0"/>
          <c:showVal val="1"/>
          <c:showCatName val="0"/>
          <c:showSerName val="0"/>
          <c:showPercent val="0"/>
          <c:showBubbleSize val="0"/>
        </c:dLbls>
        <c:gapWidth val="182"/>
        <c:axId val="326437984"/>
        <c:axId val="636726816"/>
        <c:extLst/>
      </c:barChart>
      <c:catAx>
        <c:axId val="326437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726816"/>
        <c:crosses val="autoZero"/>
        <c:auto val="1"/>
        <c:lblAlgn val="ctr"/>
        <c:lblOffset val="100"/>
        <c:noMultiLvlLbl val="0"/>
      </c:catAx>
      <c:valAx>
        <c:axId val="636726816"/>
        <c:scaling>
          <c:orientation val="minMax"/>
          <c:max val="40"/>
        </c:scaling>
        <c:delete val="1"/>
        <c:axPos val="t"/>
        <c:numFmt formatCode="General" sourceLinked="1"/>
        <c:majorTickMark val="out"/>
        <c:minorTickMark val="none"/>
        <c:tickLblPos val="nextTo"/>
        <c:crossAx val="3264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7"/>
          <c:order val="7"/>
          <c:tx>
            <c:strRef>
              <c:f>'Quant analysis'!$CP$1</c:f>
              <c:strCache>
                <c:ptCount val="1"/>
                <c:pt idx="0">
                  <c:v>ESA</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4-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6-B7E0-4F15-BE56-C6F44A2CF9E6}"/>
              </c:ext>
            </c:extLst>
          </c:dPt>
          <c:dLbls>
            <c:dLbl>
              <c:idx val="0"/>
              <c:dLblPos val="bestFit"/>
              <c:showLegendKey val="0"/>
              <c:showVal val="1"/>
              <c:showCatName val="1"/>
              <c:showSerName val="0"/>
              <c:showPercent val="0"/>
              <c:showBubbleSize val="0"/>
              <c:extLst>
                <c:ext xmlns:c15="http://schemas.microsoft.com/office/drawing/2012/chart" uri="{CE6537A1-D6FC-4f65-9D91-7224C49458BB}">
                  <c15:layout>
                    <c:manualLayout>
                      <c:w val="0.28180476655229542"/>
                      <c:h val="0.14460101024041513"/>
                    </c:manualLayout>
                  </c15:layout>
                </c:ext>
                <c:ext xmlns:c16="http://schemas.microsoft.com/office/drawing/2014/chart" uri="{C3380CC4-5D6E-409C-BE32-E72D297353CC}">
                  <c16:uniqueId val="{00000040-B7E0-4F15-BE56-C6F44A2CF9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extLst xmlns:c15="http://schemas.microsoft.com/office/drawing/2012/chart"/>
            </c:strRef>
          </c:cat>
          <c:val>
            <c:numRef>
              <c:f>'Quant analysis'!$CP$2:$CP$5</c:f>
              <c:numCache>
                <c:formatCode>General</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47-B7E0-4F15-BE56-C6F44A2CF9E6}"/>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rgbClr val="7095AC"/>
                    </a:solidFill>
                    <a:ln w="19050">
                      <a:solidFill>
                        <a:schemeClr val="lt1"/>
                      </a:solidFill>
                    </a:ln>
                    <a:effectLst/>
                  </c:spPr>
                  <c:extLst>
                    <c:ext xmlns:c16="http://schemas.microsoft.com/office/drawing/2014/chart" uri="{C3380CC4-5D6E-409C-BE32-E72D297353CC}">
                      <c16:uniqueId val="{0000000A-B7E0-4F15-BE56-C6F44A2CF9E6}"/>
                    </c:ext>
                  </c:extLst>
                </c:dPt>
                <c:dPt>
                  <c:idx val="1"/>
                  <c:bubble3D val="0"/>
                  <c:spPr>
                    <a:solidFill>
                      <a:srgbClr val="79A02C"/>
                    </a:solidFill>
                    <a:ln w="19050">
                      <a:solidFill>
                        <a:schemeClr val="lt1"/>
                      </a:solidFill>
                    </a:ln>
                    <a:effectLst/>
                  </c:spPr>
                  <c:extLst>
                    <c:ext xmlns:c16="http://schemas.microsoft.com/office/drawing/2014/chart" uri="{C3380CC4-5D6E-409C-BE32-E72D297353CC}">
                      <c16:uniqueId val="{0000000C-B7E0-4F15-BE56-C6F44A2CF9E6}"/>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E-B7E0-4F15-BE56-C6F44A2CF9E6}"/>
                    </c:ext>
                  </c:extLst>
                </c:dPt>
                <c:dPt>
                  <c:idx val="3"/>
                  <c:bubble3D val="0"/>
                  <c:spPr>
                    <a:solidFill>
                      <a:srgbClr val="00468B"/>
                    </a:solidFill>
                    <a:ln w="19050">
                      <a:solidFill>
                        <a:schemeClr val="lt1"/>
                      </a:solidFill>
                    </a:ln>
                    <a:effectLst/>
                  </c:spPr>
                  <c:extLst>
                    <c:ext xmlns:c16="http://schemas.microsoft.com/office/drawing/2014/chart" uri="{C3380CC4-5D6E-409C-BE32-E72D297353CC}">
                      <c16:uniqueId val="{00000010-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analysis'!$CI$2:$CI$5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B7E0-4F15-BE56-C6F44A2CF9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3-B7E0-4F15-BE56-C6F44A2CF9E6}"/>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5-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analysis'!$CJ$2:$CJ$5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B7E0-4F15-BE56-C6F44A2CF9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01-B7E0-4F15-BE56-C6F44A2CF9E6}"/>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03-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B7E0-4F15-BE56-C6F44A2CF9E6}"/>
                    </c:ext>
                  </c:extLst>
                </c:dPt>
                <c:dPt>
                  <c:idx val="3"/>
                  <c:bubble3D val="0"/>
                  <c:spPr>
                    <a:solidFill>
                      <a:srgbClr val="00468B"/>
                    </a:solidFill>
                    <a:ln w="19050">
                      <a:solidFill>
                        <a:schemeClr val="lt1"/>
                      </a:solidFill>
                    </a:ln>
                    <a:effectLst/>
                  </c:spPr>
                  <c:extLst xmlns:c15="http://schemas.microsoft.com/office/drawing/2012/chart">
                    <c:ext xmlns:c16="http://schemas.microsoft.com/office/drawing/2014/chart" uri="{C3380CC4-5D6E-409C-BE32-E72D297353CC}">
                      <c16:uniqueId val="{00000007-B7E0-4F15-BE56-C6F44A2CF9E6}"/>
                    </c:ext>
                  </c:extLst>
                </c:dPt>
                <c:dLbls>
                  <c:dLbl>
                    <c:idx val="0"/>
                    <c:dLblPos val="bestFit"/>
                    <c:showLegendKey val="0"/>
                    <c:showVal val="1"/>
                    <c:showCatName val="1"/>
                    <c:showSerName val="0"/>
                    <c:showPercent val="0"/>
                    <c:showBubbleSize val="0"/>
                    <c:separator>
</c:separator>
                    <c:extLst xmlns:c15="http://schemas.microsoft.com/office/drawing/2012/chart">
                      <c:ext xmlns:c15="http://schemas.microsoft.com/office/drawing/2012/chart" uri="{CE6537A1-D6FC-4f65-9D91-7224C49458BB}">
                        <c15:layout>
                          <c:manualLayout>
                            <c:w val="0.22188280494780163"/>
                            <c:h val="0.21065215907056906"/>
                          </c:manualLayout>
                        </c15:layout>
                      </c:ext>
                      <c:ext xmlns:c16="http://schemas.microsoft.com/office/drawing/2014/chart" uri="{C3380CC4-5D6E-409C-BE32-E72D297353CC}">
                        <c16:uniqueId val="{00000001-B7E0-4F15-BE56-C6F44A2CF9E6}"/>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5-B7E0-4F15-BE56-C6F44A2CF9E6}"/>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7-B7E0-4F15-BE56-C6F44A2CF9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B7E0-4F15-BE56-C6F44A2CF9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B7E0-4F15-BE56-C6F44A2CF9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analysis'!$CM$2:$CM$5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B7E0-4F15-BE56-C6F44A2CF9E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analysis'!$CN$2:$CN$5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B7E0-4F15-BE56-C6F44A2CF9E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analysis'!$CO$2:$CO$5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B7E0-4F15-BE56-C6F44A2CF9E6}"/>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0-B7E0-4F15-BE56-C6F44A2CF9E6}"/>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6-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8-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analysis'!$CR$2:$CR$5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9-B7E0-4F15-BE56-C6F44A2CF9E6}"/>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F-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1-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2-B7E0-4F15-BE56-C6F44A2CF9E6}"/>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B7E0-4F15-BE56-C6F44A2CF9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B7E0-4F15-BE56-C6F44A2CF9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B7E0-4F15-BE56-C6F44A2CF9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B7E0-4F15-BE56-C6F44A2CF9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B-B7E0-4F15-BE56-C6F44A2CF9E6}"/>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93E-49AE-82C1-B84BDA07C9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93E-49AE-82C1-B84BDA07C9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B93E-49AE-82C1-B84BDA07C963}"/>
              </c:ext>
            </c:extLst>
          </c:dPt>
          <c:cat>
            <c:strRef>
              <c:f>'Quant analysis'!$D$2:$D$3</c:f>
              <c:strCache>
                <c:ptCount val="2"/>
                <c:pt idx="0">
                  <c:v>Yes</c:v>
                </c:pt>
                <c:pt idx="1">
                  <c:v>No</c:v>
                </c:pt>
              </c:strCache>
            </c:strRef>
          </c:cat>
          <c:val>
            <c:numRef>
              <c:f>'Quant analysis'!$K$2:$K$3</c:f>
              <c:numCache>
                <c:formatCode>General</c:formatCode>
                <c:ptCount val="2"/>
                <c:pt idx="0">
                  <c:v>0</c:v>
                </c:pt>
                <c:pt idx="1">
                  <c:v>0</c:v>
                </c:pt>
              </c:numCache>
            </c:numRef>
          </c:val>
          <c:extLst>
            <c:ext xmlns:c16="http://schemas.microsoft.com/office/drawing/2014/chart" uri="{C3380CC4-5D6E-409C-BE32-E72D297353CC}">
              <c16:uniqueId val="{00000004-B93E-49AE-82C1-B84BDA07C963}"/>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4"/>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analysis'!$AA$2:$AA$29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FA0E-4AE4-920D-B42DC86B5E1C}"/>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7095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analysis'!$AG$2:$AG$14</c:f>
              <c:strCache>
                <c:ptCount val="13"/>
                <c:pt idx="0">
                  <c:v>Government actor in demonstration country  </c:v>
                </c:pt>
                <c:pt idx="1">
                  <c:v>Faith-Based actor in demonstration country </c:v>
                </c:pt>
                <c:pt idx="2">
                  <c:v>Civil Society actor in demonstration country </c:v>
                </c:pt>
                <c:pt idx="3">
                  <c:v>Residential Care actor in demonstration country</c:v>
                </c:pt>
                <c:pt idx="4">
                  <c:v>PWLE network in demonstration country</c:v>
                </c:pt>
                <c:pt idx="5">
                  <c:v>Other Faith-Based actor </c:v>
                </c:pt>
                <c:pt idx="6">
                  <c:v>Other Civil Society actor  </c:v>
                </c:pt>
                <c:pt idx="7">
                  <c:v>Other Government</c:v>
                </c:pt>
                <c:pt idx="8">
                  <c:v>ESA regional actor </c:v>
                </c:pt>
                <c:pt idx="9">
                  <c:v>LAC regional actor </c:v>
                </c:pt>
                <c:pt idx="10">
                  <c:v>EE regional actor </c:v>
                </c:pt>
                <c:pt idx="11">
                  <c:v>Global coalition/network/agency</c:v>
                </c:pt>
                <c:pt idx="12">
                  <c:v>Other</c:v>
                </c:pt>
              </c:strCache>
            </c:strRef>
          </c:cat>
          <c:val>
            <c:numRef>
              <c:f>'Quant analysis'!$AH$2:$AH$14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813-4D20-8D86-AD0659823446}"/>
            </c:ext>
          </c:extLst>
        </c:ser>
        <c:dLbls>
          <c:dLblPos val="outEnd"/>
          <c:showLegendKey val="0"/>
          <c:showVal val="1"/>
          <c:showCatName val="0"/>
          <c:showSerName val="0"/>
          <c:showPercent val="0"/>
          <c:showBubbleSize val="0"/>
        </c:dLbls>
        <c:gapWidth val="182"/>
        <c:axId val="433279696"/>
        <c:axId val="122534976"/>
      </c:barChart>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valAx>
        <c:axId val="122534976"/>
        <c:scaling>
          <c:orientation val="minMax"/>
        </c:scaling>
        <c:delete val="1"/>
        <c:axPos val="t"/>
        <c:numFmt formatCode="General" sourceLinked="1"/>
        <c:majorTickMark val="none"/>
        <c:minorTickMark val="none"/>
        <c:tickLblPos val="nextTo"/>
        <c:crossAx val="433279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analysis'!$AG$7:$AG$9,'Quant analysis'!$AG$12,'Quant analysis'!$AG$14)</c:f>
              <c:strCache>
                <c:ptCount val="5"/>
                <c:pt idx="0">
                  <c:v>Other Faith-Based actor </c:v>
                </c:pt>
                <c:pt idx="1">
                  <c:v>Other Civil Society actor  </c:v>
                </c:pt>
                <c:pt idx="2">
                  <c:v>Other Government</c:v>
                </c:pt>
                <c:pt idx="3">
                  <c:v>EE regional actor </c:v>
                </c:pt>
                <c:pt idx="4">
                  <c:v>Other</c:v>
                </c:pt>
              </c:strCache>
            </c:strRef>
          </c:cat>
          <c:val>
            <c:numRef>
              <c:extLst>
                <c:ext xmlns:c15="http://schemas.microsoft.com/office/drawing/2012/chart" uri="{02D57815-91ED-43cb-92C2-25804820EDAC}">
                  <c15:fullRef>
                    <c15:sqref>'Quant analysis'!$AN$2:$AN$14</c15:sqref>
                  </c15:fullRef>
                </c:ext>
              </c:extLst>
              <c:f>('Quant analysis'!$AN$7:$AN$9,'Quant analysis'!$AN$12,'Quant analysis'!$AN$14)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0BF-4F62-B5BB-BF452F75EF4F}"/>
            </c:ext>
          </c:extLst>
        </c:ser>
        <c:dLbls>
          <c:showLegendKey val="0"/>
          <c:showVal val="0"/>
          <c:showCatName val="0"/>
          <c:showSerName val="0"/>
          <c:showPercent val="0"/>
          <c:showBubbleSize val="0"/>
        </c:dLbls>
        <c:gapWidth val="182"/>
        <c:axId val="433279696"/>
        <c:axId val="122534976"/>
      </c:barChart>
      <c:valAx>
        <c:axId val="122534976"/>
        <c:scaling>
          <c:orientation val="minMax"/>
          <c:max val="5"/>
        </c:scaling>
        <c:delete val="1"/>
        <c:axPos val="t"/>
        <c:numFmt formatCode="General" sourceLinked="1"/>
        <c:majorTickMark val="out"/>
        <c:minorTickMark val="none"/>
        <c:tickLblPos val="nextTo"/>
        <c:crossAx val="433279696"/>
        <c:crosses val="autoZero"/>
        <c:crossBetween val="between"/>
        <c:majorUnit val="5"/>
      </c:valAx>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analysis'!$BA$2:$BA$9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1B1-4770-99DE-6F9B3C950C4B}"/>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40"/>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6"/>
          <c:order val="6"/>
          <c:tx>
            <c:strRef>
              <c:f>'Quant analysis'!$CO$1</c:f>
              <c:strCache>
                <c:ptCount val="1"/>
                <c:pt idx="0">
                  <c:v>EE</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E7DC-41CA-B6B3-52658774154F}"/>
              </c:ext>
            </c:extLst>
          </c:dPt>
          <c:dLbls>
            <c:dLbl>
              <c:idx val="0"/>
              <c:delete val="1"/>
              <c:extLst>
                <c:ext xmlns:c15="http://schemas.microsoft.com/office/drawing/2012/chart" uri="{CE6537A1-D6FC-4f65-9D91-7224C49458BB}"/>
                <c:ext xmlns:c16="http://schemas.microsoft.com/office/drawing/2014/chart" uri="{C3380CC4-5D6E-409C-BE32-E72D297353CC}">
                  <c16:uniqueId val="{00000037-E7DC-41CA-B6B3-52658774154F}"/>
                </c:ext>
              </c:extLst>
            </c:dLbl>
            <c:dLbl>
              <c:idx val="3"/>
              <c:delete val="1"/>
              <c:extLst>
                <c:ext xmlns:c15="http://schemas.microsoft.com/office/drawing/2012/chart" uri="{CE6537A1-D6FC-4f65-9D91-7224C49458BB}"/>
                <c:ext xmlns:c16="http://schemas.microsoft.com/office/drawing/2014/chart" uri="{C3380CC4-5D6E-409C-BE32-E72D297353CC}">
                  <c16:uniqueId val="{0000003D-E7DC-41CA-B6B3-5265877415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extLst xmlns:c15="http://schemas.microsoft.com/office/drawing/2012/chart"/>
            </c:strRef>
          </c:cat>
          <c:val>
            <c:numRef>
              <c:f>'Quant analysis'!$CO$2:$CO$5</c:f>
              <c:numCache>
                <c:formatCode>General</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3E-E7DC-41CA-B6B3-52658774154F}"/>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rgbClr val="7095AC"/>
                    </a:solidFill>
                    <a:ln w="19050">
                      <a:solidFill>
                        <a:schemeClr val="lt1"/>
                      </a:solidFill>
                    </a:ln>
                    <a:effectLst/>
                  </c:spPr>
                  <c:extLst>
                    <c:ext xmlns:c16="http://schemas.microsoft.com/office/drawing/2014/chart" uri="{C3380CC4-5D6E-409C-BE32-E72D297353CC}">
                      <c16:uniqueId val="{0000000A-E7DC-41CA-B6B3-52658774154F}"/>
                    </c:ext>
                  </c:extLst>
                </c:dPt>
                <c:dPt>
                  <c:idx val="1"/>
                  <c:bubble3D val="0"/>
                  <c:spPr>
                    <a:solidFill>
                      <a:srgbClr val="79A02C"/>
                    </a:solidFill>
                    <a:ln w="19050">
                      <a:solidFill>
                        <a:schemeClr val="lt1"/>
                      </a:solidFill>
                    </a:ln>
                    <a:effectLst/>
                  </c:spPr>
                  <c:extLst>
                    <c:ext xmlns:c16="http://schemas.microsoft.com/office/drawing/2014/chart" uri="{C3380CC4-5D6E-409C-BE32-E72D297353CC}">
                      <c16:uniqueId val="{0000000C-E7DC-41CA-B6B3-52658774154F}"/>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E-E7DC-41CA-B6B3-52658774154F}"/>
                    </c:ext>
                  </c:extLst>
                </c:dPt>
                <c:dPt>
                  <c:idx val="3"/>
                  <c:bubble3D val="0"/>
                  <c:spPr>
                    <a:solidFill>
                      <a:srgbClr val="00468B"/>
                    </a:solidFill>
                    <a:ln w="19050">
                      <a:solidFill>
                        <a:schemeClr val="lt1"/>
                      </a:solidFill>
                    </a:ln>
                    <a:effectLst/>
                  </c:spPr>
                  <c:extLst>
                    <c:ext xmlns:c16="http://schemas.microsoft.com/office/drawing/2014/chart" uri="{C3380CC4-5D6E-409C-BE32-E72D297353CC}">
                      <c16:uniqueId val="{00000010-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analysis'!$CI$2:$CI$5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E7DC-41CA-B6B3-52658774154F}"/>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3-E7DC-41CA-B6B3-52658774154F}"/>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5-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analysis'!$CJ$2:$CJ$5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E7DC-41CA-B6B3-52658774154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C-E7DC-41CA-B6B3-52658774154F}"/>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E-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E7DC-41CA-B6B3-52658774154F}"/>
                    </c:ext>
                  </c:extLst>
                </c:dPt>
                <c:dPt>
                  <c:idx val="3"/>
                  <c:bubble3D val="0"/>
                  <c:spPr>
                    <a:solidFill>
                      <a:srgbClr val="00468B"/>
                    </a:solidFill>
                    <a:ln w="19050">
                      <a:solidFill>
                        <a:schemeClr val="lt1"/>
                      </a:solidFill>
                    </a:ln>
                    <a:effectLst/>
                  </c:spPr>
                  <c:extLst xmlns:c15="http://schemas.microsoft.com/office/drawing/2012/chart">
                    <c:ext xmlns:c16="http://schemas.microsoft.com/office/drawing/2014/chart" uri="{C3380CC4-5D6E-409C-BE32-E72D297353CC}">
                      <c16:uniqueId val="{00000022-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E7DC-41CA-B6B3-52658774154F}"/>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01-E7DC-41CA-B6B3-52658774154F}"/>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03-E7DC-41CA-B6B3-52658774154F}"/>
                    </c:ext>
                  </c:extLst>
                </c:dPt>
                <c:dPt>
                  <c:idx val="2"/>
                  <c:bubble3D val="0"/>
                  <c:spPr>
                    <a:solidFill>
                      <a:srgbClr val="A25EB5"/>
                    </a:solidFill>
                    <a:ln w="19050">
                      <a:solidFill>
                        <a:schemeClr val="lt1"/>
                      </a:solidFill>
                    </a:ln>
                    <a:effectLst/>
                  </c:spPr>
                  <c:extLst xmlns:c15="http://schemas.microsoft.com/office/drawing/2012/chart">
                    <c:ext xmlns:c16="http://schemas.microsoft.com/office/drawing/2014/chart" uri="{C3380CC4-5D6E-409C-BE32-E72D297353CC}">
                      <c16:uniqueId val="{00000005-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E7DC-41CA-B6B3-52658774154F}"/>
                    </c:ext>
                  </c:extLst>
                </c:dPt>
                <c:dLbls>
                  <c:dLbl>
                    <c:idx val="0"/>
                    <c:dLblPos val="bestFit"/>
                    <c:showLegendKey val="0"/>
                    <c:showVal val="1"/>
                    <c:showCatName val="1"/>
                    <c:showSerName val="0"/>
                    <c:showPercent val="0"/>
                    <c:showBubbleSize val="0"/>
                    <c:separator>
</c:separator>
                    <c:extLst xmlns:c15="http://schemas.microsoft.com/office/drawing/2012/chart">
                      <c:ext xmlns:c15="http://schemas.microsoft.com/office/drawing/2012/chart" uri="{CE6537A1-D6FC-4f65-9D91-7224C49458BB}">
                        <c15:layout>
                          <c:manualLayout>
                            <c:w val="0.22635850804727894"/>
                            <c:h val="0.21065206189252814"/>
                          </c:manualLayout>
                        </c15:layout>
                      </c:ext>
                      <c:ext xmlns:c16="http://schemas.microsoft.com/office/drawing/2014/chart" uri="{C3380CC4-5D6E-409C-BE32-E72D297353CC}">
                        <c16:uniqueId val="{00000001-E7DC-41CA-B6B3-52658774154F}"/>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5-E7DC-41CA-B6B3-52658774154F}"/>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7-E7DC-41CA-B6B3-5265877415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E7DC-41CA-B6B3-52658774154F}"/>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analysis'!$CM$2:$CM$5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E7DC-41CA-B6B3-52658774154F}"/>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analysis'!$CN$2:$CN$5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E7DC-41CA-B6B3-52658774154F}"/>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4-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6-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analysis'!$CP$2:$CP$5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E7DC-41CA-B6B3-52658774154F}"/>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0-E7DC-41CA-B6B3-52658774154F}"/>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6-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8-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analysis'!$CR$2:$CR$5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9-E7DC-41CA-B6B3-52658774154F}"/>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F-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1-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2-E7DC-41CA-B6B3-52658774154F}"/>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E7DC-41CA-B6B3-52658774154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E7DC-41CA-B6B3-52658774154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E7DC-41CA-B6B3-52658774154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E7DC-41CA-B6B3-52658774154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B-E7DC-41CA-B6B3-52658774154F}"/>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534-467B-8A9A-16BB496CB4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534-467B-8A9A-16BB496CB4CF}"/>
              </c:ext>
            </c:extLst>
          </c:dPt>
          <c:cat>
            <c:strRef>
              <c:f>'Quant analysis'!$D$2:$D$3</c:f>
              <c:strCache>
                <c:ptCount val="2"/>
                <c:pt idx="0">
                  <c:v>Yes</c:v>
                </c:pt>
                <c:pt idx="1">
                  <c:v>No</c:v>
                </c:pt>
              </c:strCache>
            </c:strRef>
          </c:cat>
          <c:val>
            <c:numRef>
              <c:f>'Quant analysis'!$N$2:$N$3</c:f>
              <c:numCache>
                <c:formatCode>General</c:formatCode>
                <c:ptCount val="2"/>
                <c:pt idx="0">
                  <c:v>0</c:v>
                </c:pt>
                <c:pt idx="1">
                  <c:v>0</c:v>
                </c:pt>
              </c:numCache>
            </c:numRef>
          </c:val>
          <c:extLst>
            <c:ext xmlns:c16="http://schemas.microsoft.com/office/drawing/2014/chart" uri="{C3380CC4-5D6E-409C-BE32-E72D297353CC}">
              <c16:uniqueId val="{00000004-6534-467B-8A9A-16BB496CB4CF}"/>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5"/>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analysis'!$AD$2:$AD$29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A643-42D1-91E6-BA6FC4E7350F}"/>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analysis'!$AG$4,'Quant analysis'!$AG$7:$AG$8,'Quant analysis'!$AG$13:$AG$14)</c:f>
              <c:strCache>
                <c:ptCount val="5"/>
                <c:pt idx="0">
                  <c:v>Civil Society actor in demonstration country </c:v>
                </c:pt>
                <c:pt idx="1">
                  <c:v>Other Faith-Based actor </c:v>
                </c:pt>
                <c:pt idx="2">
                  <c:v>Other Civil Society actor  </c:v>
                </c:pt>
                <c:pt idx="3">
                  <c:v>Global coalition/network/agency</c:v>
                </c:pt>
                <c:pt idx="4">
                  <c:v>Other</c:v>
                </c:pt>
              </c:strCache>
            </c:strRef>
          </c:cat>
          <c:val>
            <c:numRef>
              <c:extLst>
                <c:ext xmlns:c15="http://schemas.microsoft.com/office/drawing/2012/chart" uri="{02D57815-91ED-43cb-92C2-25804820EDAC}">
                  <c15:fullRef>
                    <c15:sqref>'Quant analysis'!$AQ$2:$AQ$14</c15:sqref>
                  </c15:fullRef>
                </c:ext>
              </c:extLst>
              <c:f>('Quant analysis'!$AQ$4,'Quant analysis'!$AQ$7:$AQ$8,'Quant analysis'!$AQ$13:$AQ$14)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15C-42FB-B892-0B6AEA66D26D}"/>
            </c:ext>
          </c:extLst>
        </c:ser>
        <c:dLbls>
          <c:showLegendKey val="0"/>
          <c:showVal val="0"/>
          <c:showCatName val="0"/>
          <c:showSerName val="0"/>
          <c:showPercent val="0"/>
          <c:showBubbleSize val="0"/>
        </c:dLbls>
        <c:gapWidth val="182"/>
        <c:axId val="433279696"/>
        <c:axId val="122534976"/>
      </c:barChart>
      <c:valAx>
        <c:axId val="122534976"/>
        <c:scaling>
          <c:orientation val="minMax"/>
          <c:max val="25"/>
        </c:scaling>
        <c:delete val="1"/>
        <c:axPos val="t"/>
        <c:numFmt formatCode="General" sourceLinked="1"/>
        <c:majorTickMark val="out"/>
        <c:minorTickMark val="none"/>
        <c:tickLblPos val="nextTo"/>
        <c:crossAx val="433279696"/>
        <c:crosses val="autoZero"/>
        <c:crossBetween val="between"/>
        <c:majorUnit val="5"/>
      </c:valAx>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analysis'!$BD$2:$BD$9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1C6-4572-AF95-FDD7EA567533}"/>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40"/>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9"/>
          <c:order val="9"/>
          <c:tx>
            <c:strRef>
              <c:f>'Quant analysis'!$CR$1</c:f>
              <c:strCache>
                <c:ptCount val="1"/>
                <c:pt idx="0">
                  <c:v>Global</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6-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8-2505-4649-8A0C-0B7D3B56139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2505-4649-8A0C-0B7D3B56139A}"/>
                </c:ext>
              </c:extLst>
            </c:dLbl>
            <c:dLbl>
              <c:idx val="1"/>
              <c:delete val="1"/>
              <c:extLst>
                <c:ext xmlns:c15="http://schemas.microsoft.com/office/drawing/2012/chart" uri="{CE6537A1-D6FC-4f65-9D91-7224C49458BB}"/>
                <c:ext xmlns:c16="http://schemas.microsoft.com/office/drawing/2014/chart" uri="{C3380CC4-5D6E-409C-BE32-E72D297353CC}">
                  <c16:uniqueId val="{00000054-2505-4649-8A0C-0B7D3B56139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2505-4649-8A0C-0B7D3B5613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analysis'!$CH$2:$CH$5</c:f>
              <c:strCache>
                <c:ptCount val="4"/>
                <c:pt idx="0">
                  <c:v>subnational</c:v>
                </c:pt>
                <c:pt idx="1">
                  <c:v>national</c:v>
                </c:pt>
                <c:pt idx="2">
                  <c:v>regional</c:v>
                </c:pt>
                <c:pt idx="3">
                  <c:v>global</c:v>
                </c:pt>
              </c:strCache>
              <c:extLst xmlns:c15="http://schemas.microsoft.com/office/drawing/2012/chart"/>
            </c:strRef>
          </c:cat>
          <c:val>
            <c:numRef>
              <c:f>'Quant analysis'!$CR$2:$CR$5</c:f>
              <c:numCache>
                <c:formatCode>General</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59-2505-4649-8A0C-0B7D3B56139A}"/>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rgbClr val="7095AC"/>
                    </a:solidFill>
                    <a:ln w="19050">
                      <a:solidFill>
                        <a:schemeClr val="lt1"/>
                      </a:solidFill>
                    </a:ln>
                    <a:effectLst/>
                  </c:spPr>
                  <c:extLst>
                    <c:ext xmlns:c16="http://schemas.microsoft.com/office/drawing/2014/chart" uri="{C3380CC4-5D6E-409C-BE32-E72D297353CC}">
                      <c16:uniqueId val="{0000000A-2505-4649-8A0C-0B7D3B56139A}"/>
                    </c:ext>
                  </c:extLst>
                </c:dPt>
                <c:dPt>
                  <c:idx val="1"/>
                  <c:bubble3D val="0"/>
                  <c:spPr>
                    <a:solidFill>
                      <a:srgbClr val="79A02C"/>
                    </a:solidFill>
                    <a:ln w="19050">
                      <a:solidFill>
                        <a:schemeClr val="lt1"/>
                      </a:solidFill>
                    </a:ln>
                    <a:effectLst/>
                  </c:spPr>
                  <c:extLst>
                    <c:ext xmlns:c16="http://schemas.microsoft.com/office/drawing/2014/chart" uri="{C3380CC4-5D6E-409C-BE32-E72D297353CC}">
                      <c16:uniqueId val="{0000000C-2505-4649-8A0C-0B7D3B56139A}"/>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E-2505-4649-8A0C-0B7D3B56139A}"/>
                    </c:ext>
                  </c:extLst>
                </c:dPt>
                <c:dPt>
                  <c:idx val="3"/>
                  <c:bubble3D val="0"/>
                  <c:spPr>
                    <a:solidFill>
                      <a:srgbClr val="00468B"/>
                    </a:solidFill>
                    <a:ln w="19050">
                      <a:solidFill>
                        <a:schemeClr val="lt1"/>
                      </a:solidFill>
                    </a:ln>
                    <a:effectLst/>
                  </c:spPr>
                  <c:extLst>
                    <c:ext xmlns:c16="http://schemas.microsoft.com/office/drawing/2014/chart" uri="{C3380CC4-5D6E-409C-BE32-E72D297353CC}">
                      <c16:uniqueId val="{00000010-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c:ext uri="{02D57815-91ED-43cb-92C2-25804820EDAC}">
                        <c15:formulaRef>
                          <c15:sqref>'Quant analysis'!$CI$2:$CI$5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2505-4649-8A0C-0B7D3B56139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3-2505-4649-8A0C-0B7D3B56139A}"/>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5-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analysis'!$CJ$2:$CJ$5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2505-4649-8A0C-0B7D3B56139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'Quant analysis'!$CK$1</c15:sqref>
                        </c15:formulaRef>
                      </c:ext>
                    </c:extLst>
                    <c:strCache>
                      <c:ptCount val="1"/>
                      <c:pt idx="0">
                        <c:v>Haiti</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1C-2505-4649-8A0C-0B7D3B56139A}"/>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1E-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2505-4649-8A0C-0B7D3B56139A}"/>
                    </c:ext>
                  </c:extLst>
                </c:dPt>
                <c:dPt>
                  <c:idx val="3"/>
                  <c:bubble3D val="0"/>
                  <c:spPr>
                    <a:solidFill>
                      <a:srgbClr val="00468B"/>
                    </a:solidFill>
                    <a:ln w="19050">
                      <a:solidFill>
                        <a:schemeClr val="lt1"/>
                      </a:solidFill>
                    </a:ln>
                    <a:effectLst/>
                  </c:spPr>
                  <c:extLst xmlns:c15="http://schemas.microsoft.com/office/drawing/2012/chart">
                    <c:ext xmlns:c16="http://schemas.microsoft.com/office/drawing/2014/chart" uri="{C3380CC4-5D6E-409C-BE32-E72D297353CC}">
                      <c16:uniqueId val="{00000022-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analysis'!$CK$2:$CK$5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2505-4649-8A0C-0B7D3B56139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rgbClr val="7095AC"/>
                    </a:solidFill>
                    <a:ln w="19050">
                      <a:solidFill>
                        <a:schemeClr val="lt1"/>
                      </a:solidFill>
                    </a:ln>
                    <a:effectLst/>
                  </c:spPr>
                  <c:extLst xmlns:c15="http://schemas.microsoft.com/office/drawing/2012/chart">
                    <c:ext xmlns:c16="http://schemas.microsoft.com/office/drawing/2014/chart" uri="{C3380CC4-5D6E-409C-BE32-E72D297353CC}">
                      <c16:uniqueId val="{00000001-2505-4649-8A0C-0B7D3B56139A}"/>
                    </c:ext>
                  </c:extLst>
                </c:dPt>
                <c:dPt>
                  <c:idx val="1"/>
                  <c:bubble3D val="0"/>
                  <c:spPr>
                    <a:solidFill>
                      <a:srgbClr val="79A02C"/>
                    </a:solidFill>
                    <a:ln w="19050">
                      <a:solidFill>
                        <a:schemeClr val="lt1"/>
                      </a:solidFill>
                    </a:ln>
                    <a:effectLst/>
                  </c:spPr>
                  <c:extLst xmlns:c15="http://schemas.microsoft.com/office/drawing/2012/chart">
                    <c:ext xmlns:c16="http://schemas.microsoft.com/office/drawing/2014/chart" uri="{C3380CC4-5D6E-409C-BE32-E72D297353CC}">
                      <c16:uniqueId val="{00000003-2505-4649-8A0C-0B7D3B56139A}"/>
                    </c:ext>
                  </c:extLst>
                </c:dPt>
                <c:dPt>
                  <c:idx val="2"/>
                  <c:bubble3D val="0"/>
                  <c:spPr>
                    <a:solidFill>
                      <a:srgbClr val="A25EB5"/>
                    </a:solidFill>
                    <a:ln w="19050">
                      <a:solidFill>
                        <a:schemeClr val="lt1"/>
                      </a:solidFill>
                    </a:ln>
                    <a:effectLst/>
                  </c:spPr>
                  <c:extLst xmlns:c15="http://schemas.microsoft.com/office/drawing/2012/chart">
                    <c:ext xmlns:c16="http://schemas.microsoft.com/office/drawing/2014/chart" uri="{C3380CC4-5D6E-409C-BE32-E72D297353CC}">
                      <c16:uniqueId val="{00000005-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analysis'!$CL$2:$CL$5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2505-4649-8A0C-0B7D3B56139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analysis'!$CM$2:$CM$5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2505-4649-8A0C-0B7D3B56139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analysis'!$CN$2:$CN$5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2505-4649-8A0C-0B7D3B56139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analysis'!$CO$2:$CO$5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2505-4649-8A0C-0B7D3B56139A}"/>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4-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6-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analysis'!$CP$2:$CP$5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2505-4649-8A0C-0B7D3B56139A}"/>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D-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F-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analysis'!$CQ$2:$CQ$5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50-2505-4649-8A0C-0B7D3B56139A}"/>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F-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1-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analysis'!$CS$2:$CS$5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2-2505-4649-8A0C-0B7D3B56139A}"/>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2505-4649-8A0C-0B7D3B56139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2505-4649-8A0C-0B7D3B56139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2505-4649-8A0C-0B7D3B56139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2505-4649-8A0C-0B7D3B5613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'Quant analysis'!$CH$2:$CH$5</c15:sqref>
                        </c15:formulaRef>
                      </c:ext>
                    </c:extLst>
                    <c:strCache>
                      <c:ptCount val="4"/>
                      <c:pt idx="0">
                        <c:v>subnational</c:v>
                      </c:pt>
                      <c:pt idx="1">
                        <c:v>national</c:v>
                      </c:pt>
                      <c:pt idx="2">
                        <c:v>regional</c:v>
                      </c:pt>
                      <c:pt idx="3">
                        <c:v>global</c:v>
                      </c:pt>
                    </c:strCache>
                  </c:strRef>
                </c:cat>
                <c:val>
                  <c:numRef>
                    <c:extLst xmlns:c15="http://schemas.microsoft.com/office/drawing/2012/chart">
                      <c:ext xmlns:c15="http://schemas.microsoft.com/office/drawing/2012/chart" uri="{02D57815-91ED-43cb-92C2-25804820EDAC}">
                        <c15:formulaRef>
                          <c15:sqref>'Quant analysis'!$CT$2:$CT$5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6B-2505-4649-8A0C-0B7D3B56139A}"/>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AB6-459B-8007-4214DFAB6235}"/>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4AB6-459B-8007-4214DFAB623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AB6-459B-8007-4214DFAB623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analysis'!$D$2:$D$3</c:f>
              <c:strCache>
                <c:ptCount val="2"/>
                <c:pt idx="0">
                  <c:v>Yes</c:v>
                </c:pt>
                <c:pt idx="1">
                  <c:v>No</c:v>
                </c:pt>
              </c:strCache>
            </c:strRef>
          </c:cat>
          <c:val>
            <c:numRef>
              <c:f>'Quant analysis'!$G$2:$G$3</c:f>
              <c:numCache>
                <c:formatCode>General</c:formatCode>
                <c:ptCount val="2"/>
                <c:pt idx="0">
                  <c:v>0</c:v>
                </c:pt>
                <c:pt idx="1">
                  <c:v>0</c:v>
                </c:pt>
              </c:numCache>
            </c:numRef>
          </c:val>
          <c:extLst>
            <c:ext xmlns:c16="http://schemas.microsoft.com/office/drawing/2014/chart" uri="{C3380CC4-5D6E-409C-BE32-E72D297353CC}">
              <c16:uniqueId val="{00000006-4AB6-459B-8007-4214DFAB623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4"/>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analysis'!$W$2:$W$25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56A2-4FCF-A51C-721D9B9982C9}"/>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7095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analysis'!$AU$2:$AU$9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770-436A-99AF-F2A70F3405CD}"/>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scaling>
        <c:delete val="1"/>
        <c:axPos val="t"/>
        <c:numFmt formatCode="General" sourceLinked="1"/>
        <c:majorTickMark val="none"/>
        <c:minorTickMark val="none"/>
        <c:tickLblPos val="nextTo"/>
        <c:crossAx val="565125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analysis'!$AG$2,'Quant analysis'!$AG$4:$AG$5,'Quant analysis'!$AG$14)</c:f>
              <c:strCache>
                <c:ptCount val="4"/>
                <c:pt idx="0">
                  <c:v>Government actor in demonstration country  </c:v>
                </c:pt>
                <c:pt idx="1">
                  <c:v>Civil Society actor in demonstration country </c:v>
                </c:pt>
                <c:pt idx="2">
                  <c:v>Residential Care actor in demonstration country</c:v>
                </c:pt>
                <c:pt idx="3">
                  <c:v>Other</c:v>
                </c:pt>
              </c:strCache>
            </c:strRef>
          </c:cat>
          <c:val>
            <c:numRef>
              <c:extLst>
                <c:ext xmlns:c15="http://schemas.microsoft.com/office/drawing/2012/chart" uri="{02D57815-91ED-43cb-92C2-25804820EDAC}">
                  <c15:fullRef>
                    <c15:sqref>'Quant analysis'!$AJ$2:$AJ$14</c15:sqref>
                  </c15:fullRef>
                </c:ext>
              </c:extLst>
              <c:f>('Quant analysis'!$AJ$2,'Quant analysis'!$AJ$4:$AJ$5,'Quant analysis'!$AJ$14)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EE1-4036-89F6-60D8BD81FDAF}"/>
            </c:ext>
          </c:extLst>
        </c:ser>
        <c:dLbls>
          <c:dLblPos val="outEnd"/>
          <c:showLegendKey val="0"/>
          <c:showVal val="1"/>
          <c:showCatName val="0"/>
          <c:showSerName val="0"/>
          <c:showPercent val="0"/>
          <c:showBubbleSize val="0"/>
        </c:dLbls>
        <c:gapWidth val="182"/>
        <c:axId val="433279696"/>
        <c:axId val="122534976"/>
      </c:barChart>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valAx>
        <c:axId val="122534976"/>
        <c:scaling>
          <c:orientation val="minMax"/>
          <c:max val="15"/>
        </c:scaling>
        <c:delete val="1"/>
        <c:axPos val="t"/>
        <c:numFmt formatCode="General" sourceLinked="1"/>
        <c:majorTickMark val="out"/>
        <c:minorTickMark val="none"/>
        <c:tickLblPos val="nextTo"/>
        <c:crossAx val="4332796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behaviour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analysis'!$AT$2:$AT$9</c:f>
              <c:strCache>
                <c:ptCount val="8"/>
                <c:pt idx="0">
                  <c:v>Commitment</c:v>
                </c:pt>
                <c:pt idx="1">
                  <c:v>Coordination</c:v>
                </c:pt>
                <c:pt idx="2">
                  <c:v>Service Delivery</c:v>
                </c:pt>
                <c:pt idx="3">
                  <c:v>Legislation/policy</c:v>
                </c:pt>
                <c:pt idx="4">
                  <c:v>Social Norms</c:v>
                </c:pt>
                <c:pt idx="5">
                  <c:v>Financing</c:v>
                </c:pt>
                <c:pt idx="6">
                  <c:v>Evidence/M&amp;E</c:v>
                </c:pt>
                <c:pt idx="7">
                  <c:v>Workforce</c:v>
                </c:pt>
              </c:strCache>
            </c:strRef>
          </c:cat>
          <c:val>
            <c:numRef>
              <c:f>'Quant analysis'!$AW$2:$AW$9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3E5-4843-B6AA-57BFB795708E}"/>
            </c:ext>
          </c:extLst>
        </c:ser>
        <c:dLbls>
          <c:dLblPos val="outEnd"/>
          <c:showLegendKey val="0"/>
          <c:showVal val="1"/>
          <c:showCatName val="0"/>
          <c:showSerName val="0"/>
          <c:showPercent val="0"/>
          <c:showBubbleSize val="0"/>
        </c:dLbls>
        <c:gapWidth val="182"/>
        <c:axId val="565125456"/>
        <c:axId val="565127536"/>
      </c:barChart>
      <c:catAx>
        <c:axId val="56512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127536"/>
        <c:crosses val="autoZero"/>
        <c:auto val="1"/>
        <c:lblAlgn val="ctr"/>
        <c:lblOffset val="100"/>
        <c:noMultiLvlLbl val="0"/>
      </c:catAx>
      <c:valAx>
        <c:axId val="565127536"/>
        <c:scaling>
          <c:orientation val="minMax"/>
          <c:max val="40"/>
        </c:scaling>
        <c:delete val="1"/>
        <c:axPos val="t"/>
        <c:numFmt formatCode="General" sourceLinked="1"/>
        <c:majorTickMark val="out"/>
        <c:minorTickMark val="none"/>
        <c:tickLblPos val="nextTo"/>
        <c:crossAx val="5651254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 of influence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'Quant analysis'!$CK$1</c:f>
              <c:strCache>
                <c:ptCount val="1"/>
                <c:pt idx="0">
                  <c:v>Haiti</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2A05-47C4-9C8B-A98E14A1E7B4}"/>
              </c:ext>
            </c:extLst>
          </c:dPt>
          <c:dLbls>
            <c:dLbl>
              <c:idx val="0"/>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555102100720088"/>
                      <c:h val="0.20994340255906868"/>
                    </c:manualLayout>
                  </c15:layout>
                </c:ext>
                <c:ext xmlns:c16="http://schemas.microsoft.com/office/drawing/2014/chart" uri="{C3380CC4-5D6E-409C-BE32-E72D297353CC}">
                  <c16:uniqueId val="{0000001C-2A05-47C4-9C8B-A98E14A1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ext>
              </c:extLst>
              <c:f>'Quant analysis'!$CH$2:$CH$3</c:f>
              <c:strCache>
                <c:ptCount val="2"/>
                <c:pt idx="0">
                  <c:v>subnational</c:v>
                </c:pt>
                <c:pt idx="1">
                  <c:v>national</c:v>
                </c:pt>
              </c:strCache>
            </c:strRef>
          </c:cat>
          <c:val>
            <c:numRef>
              <c:extLst>
                <c:ext xmlns:c15="http://schemas.microsoft.com/office/drawing/2012/chart" uri="{02D57815-91ED-43cb-92C2-25804820EDAC}">
                  <c15:fullRef>
                    <c15:sqref>'Quant analysis'!$CK$2:$CK$5</c15:sqref>
                  </c15:fullRef>
                </c:ext>
              </c:extLst>
              <c:f>'Quant analysis'!$CK$2:$CK$3</c:f>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analysis'!$CK$4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analysis'!$CK$5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23-2A05-47C4-9C8B-A98E14A1E7B4}"/>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'Quant analysis'!$CI$1</c15:sqref>
                        </c15:formulaRef>
                      </c:ext>
                    </c:extLst>
                    <c:strCache>
                      <c:ptCount val="1"/>
                      <c:pt idx="0">
                        <c:v>All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2A05-47C4-9C8B-A98E14A1E7B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uri="{02D57815-91ED-43cb-92C2-25804820EDAC}">
                        <c15:fullRef>
                          <c15:sqref>'Quant analysis'!$CI$2:$CI$5</c15:sqref>
                        </c15:fullRef>
                        <c15:formulaRef>
                          <c15:sqref>'Quant analysis'!$CI$2:$CI$3</c15:sqref>
                        </c15:formulaRef>
                      </c:ext>
                    </c:extLst>
                    <c:numCache>
                      <c:formatCode>General</c:formatCode>
                      <c:ptCount val="2"/>
                      <c:pt idx="0">
                        <c:v>0</c:v>
                      </c:pt>
                      <c:pt idx="1">
                        <c:v>0</c:v>
                      </c:pt>
                    </c:numCache>
                  </c:numRef>
                </c:val>
                <c:extLst>
                  <c:ext uri="{02D57815-91ED-43cb-92C2-25804820EDAC}">
                    <c15:categoryFilterExceptions>
                      <c15:categoryFilterException>
                        <c15:sqref>'Quant analysis'!$CI$4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analysis'!$CI$5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1-2A05-47C4-9C8B-A98E14A1E7B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'Quant analysis'!$CJ$1</c15:sqref>
                        </c15:formulaRef>
                      </c:ext>
                    </c:extLst>
                    <c:strCache>
                      <c:ptCount val="1"/>
                      <c:pt idx="0">
                        <c:v>Guatemala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analysis'!$CJ$2:$CJ$5</c15:sqref>
                        </c15:fullRef>
                        <c15:formulaRef>
                          <c15:sqref>'Quant analysis'!$CJ$2:$CJ$3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analysis'!$CJ$4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analysis'!$CJ$5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A-2A05-47C4-9C8B-A98E14A1E7B4}"/>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'Quant analysis'!$CL$1</c15:sqref>
                        </c15:formulaRef>
                      </c:ext>
                    </c:extLst>
                    <c:strCache>
                      <c:ptCount val="1"/>
                      <c:pt idx="0">
                        <c:v>India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analysis'!$CL$2:$CL$5</c15:sqref>
                        </c15:fullRef>
                        <c15:formulaRef>
                          <c15:sqref>'Quant analysis'!$CL$2:$CL$3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analysis'!$CL$4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analysis'!$CL$5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2C-2A05-47C4-9C8B-A98E14A1E7B4}"/>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'Quant analysis'!$CM$1</c15:sqref>
                        </c15:formulaRef>
                      </c:ext>
                    </c:extLst>
                    <c:strCache>
                      <c:ptCount val="1"/>
                      <c:pt idx="0">
                        <c:v>Kenya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analysis'!$CM$2:$CM$5</c15:sqref>
                        </c15:fullRef>
                        <c15:formulaRef>
                          <c15:sqref>'Quant analysis'!$CM$2:$CM$3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analysis'!$CM$4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analysis'!$CM$5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35-2A05-47C4-9C8B-A98E14A1E7B4}"/>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'Quant analysis'!$CN$1</c15:sqref>
                        </c15:formulaRef>
                      </c:ext>
                    </c:extLst>
                    <c:strCache>
                      <c:ptCount val="1"/>
                      <c:pt idx="0">
                        <c:v>Moldova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analysis'!$CN$2:$CN$5</c15:sqref>
                        </c15:fullRef>
                        <c15:formulaRef>
                          <c15:sqref>'Quant analysis'!$CN$2:$CN$3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analysis'!$CN$4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analysis'!$CN$5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2A05-47C4-9C8B-A98E14A1E7B4}"/>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'Quant analysis'!$CO$1</c15:sqref>
                        </c15:formulaRef>
                      </c:ext>
                    </c:extLst>
                    <c:strCache>
                      <c:ptCount val="1"/>
                      <c:pt idx="0">
                        <c:v>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analysis'!$CO$2:$CO$5</c15:sqref>
                        </c15:fullRef>
                        <c15:formulaRef>
                          <c15:sqref>'Quant analysis'!$CO$2:$CO$3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analysis'!$CO$4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analysis'!$CO$5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3E-2A05-47C4-9C8B-A98E14A1E7B4}"/>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'Quant analysis'!$CP$1</c15:sqref>
                        </c15:formulaRef>
                      </c:ext>
                    </c:extLst>
                    <c:strCache>
                      <c:ptCount val="1"/>
                      <c:pt idx="0">
                        <c:v>ESA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0-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2-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analysis'!$CP$2:$CP$5</c15:sqref>
                        </c15:fullRef>
                        <c15:formulaRef>
                          <c15:sqref>'Quant analysis'!$CP$2:$CP$3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analysis'!$CP$4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analysis'!$CP$5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47-2A05-47C4-9C8B-A98E14A1E7B4}"/>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'Quant analysis'!$CQ$1</c15:sqref>
                        </c15:formulaRef>
                      </c:ext>
                    </c:extLst>
                    <c:strCache>
                      <c:ptCount val="1"/>
                      <c:pt idx="0">
                        <c:v>LAC</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9-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B-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analysis'!$CQ$2:$CQ$5</c15:sqref>
                        </c15:fullRef>
                        <c15:formulaRef>
                          <c15:sqref>'Quant analysis'!$CQ$2:$CQ$3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analysis'!$CQ$4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analysis'!$CQ$5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50-2A05-47C4-9C8B-A98E14A1E7B4}"/>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'Quant analysis'!$CR$1</c15:sqref>
                        </c15:formulaRef>
                      </c:ext>
                    </c:extLst>
                    <c:strCache>
                      <c:ptCount val="1"/>
                      <c:pt idx="0">
                        <c:v>Global</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2-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4-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analysis'!$CR$2:$CR$5</c15:sqref>
                        </c15:fullRef>
                        <c15:formulaRef>
                          <c15:sqref>'Quant analysis'!$CR$2:$CR$3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analysis'!$CR$4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analysis'!$CR$5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59-2A05-47C4-9C8B-A98E14A1E7B4}"/>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'Quant analysis'!$CS$1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B-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D-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analysis'!$CS$2:$CS$5</c15:sqref>
                        </c15:fullRef>
                        <c15:formulaRef>
                          <c15:sqref>'Quant analysis'!$CS$2:$CS$3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analysis'!$CS$4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analysis'!$CS$5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62-2A05-47C4-9C8B-A98E14A1E7B4}"/>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'Quant analysis'!$CT$1</c15:sqref>
                        </c15:formulaRef>
                      </c:ext>
                    </c:extLst>
                    <c:strCache>
                      <c:ptCount val="1"/>
                      <c:pt idx="0">
                        <c:v>ILE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2A05-47C4-9C8B-A98E14A1E7B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2A05-47C4-9C8B-A98E14A1E7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'Quant analysis'!$CH$2:$CH$5</c15:sqref>
                        </c15:fullRef>
                        <c15:formulaRef>
                          <c15:sqref>'Quant analysis'!$CH$2:$CH$3</c15:sqref>
                        </c15:formulaRef>
                      </c:ext>
                    </c:extLst>
                    <c:strCache>
                      <c:ptCount val="2"/>
                      <c:pt idx="0">
                        <c:v>subnational</c:v>
                      </c:pt>
                      <c:pt idx="1">
                        <c:v>national</c:v>
                      </c:pt>
                    </c:strCache>
                  </c:strRef>
                </c:cat>
                <c:val>
                  <c:numRef>
                    <c:extLst>
                      <c:ext xmlns:c15="http://schemas.microsoft.com/office/drawing/2012/chart" uri="{02D57815-91ED-43cb-92C2-25804820EDAC}">
                        <c15:fullRef>
                          <c15:sqref>'Quant analysis'!$CT$2:$CT$5</c15:sqref>
                        </c15:fullRef>
                        <c15:formulaRef>
                          <c15:sqref>'Quant analysis'!$CT$2:$CT$3</c15:sqref>
                        </c15:formulaRef>
                      </c:ext>
                    </c:extLst>
                    <c:numCache>
                      <c:formatCode>General</c:formatCode>
                      <c:ptCount val="2"/>
                      <c:pt idx="0">
                        <c:v>0</c:v>
                      </c:pt>
                      <c:pt idx="1">
                        <c:v>0</c:v>
                      </c:pt>
                    </c:numCache>
                  </c:numRef>
                </c:val>
                <c:extLst xmlns:c15="http://schemas.microsoft.com/office/drawing/2012/chart">
                  <c:ext xmlns:c15="http://schemas.microsoft.com/office/drawing/2012/chart" uri="{02D57815-91ED-43cb-92C2-25804820EDAC}">
                    <c15:categoryFilterExceptions>
                      <c15:categoryFilterException>
                        <c15:sqref>'Quant analysis'!$CT$4</c15:sqref>
                        <c15:spPr xmlns:c15="http://schemas.microsoft.com/office/drawing/2012/chart">
                          <a:solidFill>
                            <a:schemeClr val="accent3"/>
                          </a:solidFill>
                          <a:ln w="19050">
                            <a:solidFill>
                              <a:schemeClr val="lt1"/>
                            </a:solidFill>
                          </a:ln>
                          <a:effectLst/>
                        </c15:spPr>
                        <c15:bubble3D val="0"/>
                      </c15:categoryFilterException>
                      <c15:categoryFilterException>
                        <c15:sqref>'Quant analysis'!$CT$5</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6B-2A05-47C4-9C8B-A98E14A1E7B4}"/>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1" i="0" u="none" strike="noStrike" kern="1200" spc="0" baseline="0">
                <a:solidFill>
                  <a:sysClr val="windowText" lastClr="000000"/>
                </a:solidFill>
                <a:latin typeface="+mn-lt"/>
                <a:ea typeface="+mn-ea"/>
                <a:cs typeface="+mn-cs"/>
              </a:defRPr>
            </a:pPr>
            <a:r>
              <a:rPr lang="es-GT"/>
              <a:t>Total </a:t>
            </a:r>
            <a:r>
              <a:rPr lang="ro-MD"/>
              <a:t>subnational &amp; national level </a:t>
            </a:r>
            <a:r>
              <a:rPr lang="es-GT"/>
              <a:t>outcomes by system change type and level</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'Quant analysis'!$CX$12</c:f>
              <c:strCache>
                <c:ptCount val="1"/>
                <c:pt idx="0">
                  <c:v>Policies</c:v>
                </c:pt>
              </c:strCache>
            </c:strRef>
          </c:tx>
          <c:spPr>
            <a:solidFill>
              <a:srgbClr val="00468B"/>
            </a:solidFill>
            <a:ln>
              <a:noFill/>
            </a:ln>
            <a:effectLst/>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3086-438E-80A3-2C0752A1369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cat>
            <c:strRef>
              <c:f>'Quant analysis'!$CW$13:$CW$15</c:f>
              <c:strCache>
                <c:ptCount val="3"/>
                <c:pt idx="0">
                  <c:v>Structural change (Explicit)</c:v>
                </c:pt>
                <c:pt idx="1">
                  <c:v>Relational Change (semi-explicit)</c:v>
                </c:pt>
                <c:pt idx="2">
                  <c:v>Transformative change (implicit)</c:v>
                </c:pt>
              </c:strCache>
            </c:strRef>
          </c:cat>
          <c:val>
            <c:numRef>
              <c:f>'Quant analysis'!$CX$13:$CX$15</c:f>
              <c:numCache>
                <c:formatCode>General</c:formatCode>
                <c:ptCount val="3"/>
                <c:pt idx="0">
                  <c:v>0</c:v>
                </c:pt>
              </c:numCache>
            </c:numRef>
          </c:val>
          <c:extLst>
            <c:ext xmlns:c16="http://schemas.microsoft.com/office/drawing/2014/chart" uri="{C3380CC4-5D6E-409C-BE32-E72D297353CC}">
              <c16:uniqueId val="{00000000-3086-438E-80A3-2C0752A13692}"/>
            </c:ext>
          </c:extLst>
        </c:ser>
        <c:ser>
          <c:idx val="1"/>
          <c:order val="1"/>
          <c:tx>
            <c:strRef>
              <c:f>'Quant analysis'!$CY$12</c:f>
              <c:strCache>
                <c:ptCount val="1"/>
                <c:pt idx="0">
                  <c:v>Practices</c:v>
                </c:pt>
              </c:strCache>
            </c:strRef>
          </c:tx>
          <c:spPr>
            <a:solidFill>
              <a:srgbClr val="00468B">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analysis'!$CW$13:$CW$15</c:f>
              <c:strCache>
                <c:ptCount val="3"/>
                <c:pt idx="0">
                  <c:v>Structural change (Explicit)</c:v>
                </c:pt>
                <c:pt idx="1">
                  <c:v>Relational Change (semi-explicit)</c:v>
                </c:pt>
                <c:pt idx="2">
                  <c:v>Transformative change (implicit)</c:v>
                </c:pt>
              </c:strCache>
            </c:strRef>
          </c:cat>
          <c:val>
            <c:numRef>
              <c:f>'Quant analysis'!$CY$13:$CY$15</c:f>
              <c:numCache>
                <c:formatCode>General</c:formatCode>
                <c:ptCount val="3"/>
                <c:pt idx="0">
                  <c:v>0</c:v>
                </c:pt>
              </c:numCache>
            </c:numRef>
          </c:val>
          <c:extLst>
            <c:ext xmlns:c16="http://schemas.microsoft.com/office/drawing/2014/chart" uri="{C3380CC4-5D6E-409C-BE32-E72D297353CC}">
              <c16:uniqueId val="{00000001-3086-438E-80A3-2C0752A13692}"/>
            </c:ext>
          </c:extLst>
        </c:ser>
        <c:ser>
          <c:idx val="2"/>
          <c:order val="2"/>
          <c:tx>
            <c:strRef>
              <c:f>'Quant analysis'!$CZ$12</c:f>
              <c:strCache>
                <c:ptCount val="1"/>
                <c:pt idx="0">
                  <c:v>Resource Flows</c:v>
                </c:pt>
              </c:strCache>
            </c:strRef>
          </c:tx>
          <c:spPr>
            <a:solidFill>
              <a:srgbClr val="00468B">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analysis'!$CW$13:$CW$15</c:f>
              <c:strCache>
                <c:ptCount val="3"/>
                <c:pt idx="0">
                  <c:v>Structural change (Explicit)</c:v>
                </c:pt>
                <c:pt idx="1">
                  <c:v>Relational Change (semi-explicit)</c:v>
                </c:pt>
                <c:pt idx="2">
                  <c:v>Transformative change (implicit)</c:v>
                </c:pt>
              </c:strCache>
            </c:strRef>
          </c:cat>
          <c:val>
            <c:numRef>
              <c:f>'Quant analysis'!$CZ$13:$CZ$15</c:f>
              <c:numCache>
                <c:formatCode>General</c:formatCode>
                <c:ptCount val="3"/>
                <c:pt idx="0">
                  <c:v>0</c:v>
                </c:pt>
              </c:numCache>
            </c:numRef>
          </c:val>
          <c:extLst>
            <c:ext xmlns:c16="http://schemas.microsoft.com/office/drawing/2014/chart" uri="{C3380CC4-5D6E-409C-BE32-E72D297353CC}">
              <c16:uniqueId val="{00000002-3086-438E-80A3-2C0752A13692}"/>
            </c:ext>
          </c:extLst>
        </c:ser>
        <c:ser>
          <c:idx val="3"/>
          <c:order val="3"/>
          <c:tx>
            <c:strRef>
              <c:f>'Quant analysis'!$DA$12</c:f>
              <c:strCache>
                <c:ptCount val="1"/>
                <c:pt idx="0">
                  <c:v>Relationships&amp; Connections</c:v>
                </c:pt>
              </c:strCache>
            </c:strRef>
          </c:tx>
          <c:spPr>
            <a:solidFill>
              <a:srgbClr val="79A0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analysis'!$CW$13:$CW$15</c:f>
              <c:strCache>
                <c:ptCount val="3"/>
                <c:pt idx="0">
                  <c:v>Structural change (Explicit)</c:v>
                </c:pt>
                <c:pt idx="1">
                  <c:v>Relational Change (semi-explicit)</c:v>
                </c:pt>
                <c:pt idx="2">
                  <c:v>Transformative change (implicit)</c:v>
                </c:pt>
              </c:strCache>
            </c:strRef>
          </c:cat>
          <c:val>
            <c:numRef>
              <c:f>'Quant analysis'!$DA$13:$DA$15</c:f>
              <c:numCache>
                <c:formatCode>General</c:formatCode>
                <c:ptCount val="3"/>
                <c:pt idx="1">
                  <c:v>0</c:v>
                </c:pt>
              </c:numCache>
            </c:numRef>
          </c:val>
          <c:extLst>
            <c:ext xmlns:c16="http://schemas.microsoft.com/office/drawing/2014/chart" uri="{C3380CC4-5D6E-409C-BE32-E72D297353CC}">
              <c16:uniqueId val="{00000003-3086-438E-80A3-2C0752A13692}"/>
            </c:ext>
          </c:extLst>
        </c:ser>
        <c:ser>
          <c:idx val="4"/>
          <c:order val="4"/>
          <c:tx>
            <c:strRef>
              <c:f>'Quant analysis'!$DB$12</c:f>
              <c:strCache>
                <c:ptCount val="1"/>
                <c:pt idx="0">
                  <c:v>Power Dynamics</c:v>
                </c:pt>
              </c:strCache>
            </c:strRef>
          </c:tx>
          <c:spPr>
            <a:solidFill>
              <a:srgbClr val="79A02C">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analysis'!$CW$13:$CW$15</c:f>
              <c:strCache>
                <c:ptCount val="3"/>
                <c:pt idx="0">
                  <c:v>Structural change (Explicit)</c:v>
                </c:pt>
                <c:pt idx="1">
                  <c:v>Relational Change (semi-explicit)</c:v>
                </c:pt>
                <c:pt idx="2">
                  <c:v>Transformative change (implicit)</c:v>
                </c:pt>
              </c:strCache>
            </c:strRef>
          </c:cat>
          <c:val>
            <c:numRef>
              <c:f>'Quant analysis'!$DB$13:$DB$15</c:f>
              <c:numCache>
                <c:formatCode>General</c:formatCode>
                <c:ptCount val="3"/>
                <c:pt idx="1">
                  <c:v>0</c:v>
                </c:pt>
              </c:numCache>
            </c:numRef>
          </c:val>
          <c:extLst>
            <c:ext xmlns:c16="http://schemas.microsoft.com/office/drawing/2014/chart" uri="{C3380CC4-5D6E-409C-BE32-E72D297353CC}">
              <c16:uniqueId val="{00000004-3086-438E-80A3-2C0752A13692}"/>
            </c:ext>
          </c:extLst>
        </c:ser>
        <c:ser>
          <c:idx val="5"/>
          <c:order val="5"/>
          <c:tx>
            <c:strRef>
              <c:f>'Quant analysis'!$DC$12</c:f>
              <c:strCache>
                <c:ptCount val="1"/>
                <c:pt idx="0">
                  <c:v>Mental Models</c:v>
                </c:pt>
              </c:strCache>
            </c:strRef>
          </c:tx>
          <c:spPr>
            <a:solidFill>
              <a:srgbClr val="A25E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analysis'!$CW$13:$CW$15</c:f>
              <c:strCache>
                <c:ptCount val="3"/>
                <c:pt idx="0">
                  <c:v>Structural change (Explicit)</c:v>
                </c:pt>
                <c:pt idx="1">
                  <c:v>Relational Change (semi-explicit)</c:v>
                </c:pt>
                <c:pt idx="2">
                  <c:v>Transformative change (implicit)</c:v>
                </c:pt>
              </c:strCache>
            </c:strRef>
          </c:cat>
          <c:val>
            <c:numRef>
              <c:f>'Quant analysis'!$DC$13:$DC$15</c:f>
              <c:numCache>
                <c:formatCode>General</c:formatCode>
                <c:ptCount val="3"/>
                <c:pt idx="2">
                  <c:v>0</c:v>
                </c:pt>
              </c:numCache>
            </c:numRef>
          </c:val>
          <c:extLst>
            <c:ext xmlns:c16="http://schemas.microsoft.com/office/drawing/2014/chart" uri="{C3380CC4-5D6E-409C-BE32-E72D297353CC}">
              <c16:uniqueId val="{00000005-3086-438E-80A3-2C0752A13692}"/>
            </c:ext>
          </c:extLst>
        </c:ser>
        <c:dLbls>
          <c:showLegendKey val="0"/>
          <c:showVal val="0"/>
          <c:showCatName val="0"/>
          <c:showSerName val="0"/>
          <c:showPercent val="0"/>
          <c:showBubbleSize val="0"/>
        </c:dLbls>
        <c:gapWidth val="42"/>
        <c:overlap val="100"/>
        <c:axId val="711209279"/>
        <c:axId val="231496239"/>
      </c:barChart>
      <c:catAx>
        <c:axId val="711209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31496239"/>
        <c:crosses val="autoZero"/>
        <c:auto val="1"/>
        <c:lblAlgn val="ctr"/>
        <c:lblOffset val="100"/>
        <c:noMultiLvlLbl val="0"/>
      </c:catAx>
      <c:valAx>
        <c:axId val="231496239"/>
        <c:scaling>
          <c:orientation val="minMax"/>
          <c:max val="250"/>
        </c:scaling>
        <c:delete val="1"/>
        <c:axPos val="t"/>
        <c:numFmt formatCode="General" sourceLinked="1"/>
        <c:majorTickMark val="out"/>
        <c:minorTickMark val="none"/>
        <c:tickLblPos val="nextTo"/>
        <c:crossAx val="71120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r>
              <a:rPr lang="es-GT" sz="1000" b="1" i="0" u="none" strike="noStrike" kern="1200" spc="0" baseline="0">
                <a:solidFill>
                  <a:sysClr val="windowText" lastClr="000000"/>
                </a:solidFill>
              </a:rPr>
              <a:t>Three levels of national and subnational system change by years</a:t>
            </a:r>
          </a:p>
        </c:rich>
      </c:tx>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rgbClr val="00468B"/>
            </a:solidFill>
            <a:ln>
              <a:noFill/>
            </a:ln>
            <a:effectLst/>
          </c:spPr>
          <c:invertIfNegative val="0"/>
          <c:dPt>
            <c:idx val="7"/>
            <c:invertIfNegative val="0"/>
            <c:bubble3D val="0"/>
            <c:spPr>
              <a:solidFill>
                <a:srgbClr val="79A02C"/>
              </a:solidFill>
              <a:ln>
                <a:noFill/>
              </a:ln>
              <a:effectLst/>
            </c:spPr>
            <c:extLst>
              <c:ext xmlns:c16="http://schemas.microsoft.com/office/drawing/2014/chart" uri="{C3380CC4-5D6E-409C-BE32-E72D297353CC}">
                <c16:uniqueId val="{00000000-C209-430D-9F87-8822605EC288}"/>
              </c:ext>
            </c:extLst>
          </c:dPt>
          <c:dPt>
            <c:idx val="8"/>
            <c:invertIfNegative val="0"/>
            <c:bubble3D val="0"/>
            <c:spPr>
              <a:solidFill>
                <a:srgbClr val="79A02C"/>
              </a:solidFill>
              <a:ln>
                <a:noFill/>
              </a:ln>
              <a:effectLst/>
            </c:spPr>
            <c:extLst>
              <c:ext xmlns:c16="http://schemas.microsoft.com/office/drawing/2014/chart" uri="{C3380CC4-5D6E-409C-BE32-E72D297353CC}">
                <c16:uniqueId val="{00000001-C209-430D-9F87-8822605EC288}"/>
              </c:ext>
            </c:extLst>
          </c:dPt>
          <c:dPt>
            <c:idx val="9"/>
            <c:invertIfNegative val="0"/>
            <c:bubble3D val="0"/>
            <c:spPr>
              <a:solidFill>
                <a:srgbClr val="79A02C"/>
              </a:solidFill>
              <a:ln>
                <a:noFill/>
              </a:ln>
              <a:effectLst/>
            </c:spPr>
            <c:extLst>
              <c:ext xmlns:c16="http://schemas.microsoft.com/office/drawing/2014/chart" uri="{C3380CC4-5D6E-409C-BE32-E72D297353CC}">
                <c16:uniqueId val="{00000002-C209-430D-9F87-8822605EC288}"/>
              </c:ext>
            </c:extLst>
          </c:dPt>
          <c:dPt>
            <c:idx val="10"/>
            <c:invertIfNegative val="0"/>
            <c:bubble3D val="0"/>
            <c:spPr>
              <a:solidFill>
                <a:srgbClr val="79A02C"/>
              </a:solidFill>
              <a:ln>
                <a:noFill/>
              </a:ln>
              <a:effectLst/>
            </c:spPr>
            <c:extLst>
              <c:ext xmlns:c16="http://schemas.microsoft.com/office/drawing/2014/chart" uri="{C3380CC4-5D6E-409C-BE32-E72D297353CC}">
                <c16:uniqueId val="{00000003-C209-430D-9F87-8822605EC288}"/>
              </c:ext>
            </c:extLst>
          </c:dPt>
          <c:dPt>
            <c:idx val="11"/>
            <c:invertIfNegative val="0"/>
            <c:bubble3D val="0"/>
            <c:spPr>
              <a:solidFill>
                <a:srgbClr val="79A02C"/>
              </a:solidFill>
              <a:ln>
                <a:noFill/>
              </a:ln>
              <a:effectLst/>
            </c:spPr>
            <c:extLst>
              <c:ext xmlns:c16="http://schemas.microsoft.com/office/drawing/2014/chart" uri="{C3380CC4-5D6E-409C-BE32-E72D297353CC}">
                <c16:uniqueId val="{00000004-C209-430D-9F87-8822605EC288}"/>
              </c:ext>
            </c:extLst>
          </c:dPt>
          <c:dPt>
            <c:idx val="12"/>
            <c:invertIfNegative val="0"/>
            <c:bubble3D val="0"/>
            <c:spPr>
              <a:solidFill>
                <a:srgbClr val="79A02C"/>
              </a:solidFill>
              <a:ln>
                <a:noFill/>
              </a:ln>
              <a:effectLst/>
            </c:spPr>
            <c:extLst>
              <c:ext xmlns:c16="http://schemas.microsoft.com/office/drawing/2014/chart" uri="{C3380CC4-5D6E-409C-BE32-E72D297353CC}">
                <c16:uniqueId val="{00000005-C209-430D-9F87-8822605EC288}"/>
              </c:ext>
            </c:extLst>
          </c:dPt>
          <c:dPt>
            <c:idx val="13"/>
            <c:invertIfNegative val="0"/>
            <c:bubble3D val="0"/>
            <c:spPr>
              <a:solidFill>
                <a:srgbClr val="79A02C"/>
              </a:solidFill>
              <a:ln>
                <a:noFill/>
              </a:ln>
              <a:effectLst/>
            </c:spPr>
            <c:extLst>
              <c:ext xmlns:c16="http://schemas.microsoft.com/office/drawing/2014/chart" uri="{C3380CC4-5D6E-409C-BE32-E72D297353CC}">
                <c16:uniqueId val="{00000018-8354-43C9-BA09-2C8380FF93B6}"/>
              </c:ext>
            </c:extLst>
          </c:dPt>
          <c:dPt>
            <c:idx val="14"/>
            <c:invertIfNegative val="0"/>
            <c:bubble3D val="0"/>
            <c:spPr>
              <a:solidFill>
                <a:srgbClr val="A25EB5"/>
              </a:solidFill>
              <a:ln>
                <a:noFill/>
              </a:ln>
              <a:effectLst/>
            </c:spPr>
            <c:extLst>
              <c:ext xmlns:c16="http://schemas.microsoft.com/office/drawing/2014/chart" uri="{C3380CC4-5D6E-409C-BE32-E72D297353CC}">
                <c16:uniqueId val="{00000006-C209-430D-9F87-8822605EC288}"/>
              </c:ext>
            </c:extLst>
          </c:dPt>
          <c:dPt>
            <c:idx val="15"/>
            <c:invertIfNegative val="0"/>
            <c:bubble3D val="0"/>
            <c:spPr>
              <a:solidFill>
                <a:srgbClr val="A25EB5"/>
              </a:solidFill>
              <a:ln>
                <a:noFill/>
              </a:ln>
              <a:effectLst/>
            </c:spPr>
            <c:extLst>
              <c:ext xmlns:c16="http://schemas.microsoft.com/office/drawing/2014/chart" uri="{C3380CC4-5D6E-409C-BE32-E72D297353CC}">
                <c16:uniqueId val="{00000007-C209-430D-9F87-8822605EC288}"/>
              </c:ext>
            </c:extLst>
          </c:dPt>
          <c:dPt>
            <c:idx val="16"/>
            <c:invertIfNegative val="0"/>
            <c:bubble3D val="0"/>
            <c:spPr>
              <a:solidFill>
                <a:srgbClr val="A25EB5"/>
              </a:solidFill>
              <a:ln>
                <a:noFill/>
              </a:ln>
              <a:effectLst/>
            </c:spPr>
            <c:extLst>
              <c:ext xmlns:c16="http://schemas.microsoft.com/office/drawing/2014/chart" uri="{C3380CC4-5D6E-409C-BE32-E72D297353CC}">
                <c16:uniqueId val="{00000008-C209-430D-9F87-8822605EC288}"/>
              </c:ext>
            </c:extLst>
          </c:dPt>
          <c:dPt>
            <c:idx val="17"/>
            <c:invertIfNegative val="0"/>
            <c:bubble3D val="0"/>
            <c:spPr>
              <a:solidFill>
                <a:srgbClr val="A25EB5"/>
              </a:solidFill>
              <a:ln>
                <a:noFill/>
              </a:ln>
              <a:effectLst/>
            </c:spPr>
            <c:extLst>
              <c:ext xmlns:c16="http://schemas.microsoft.com/office/drawing/2014/chart" uri="{C3380CC4-5D6E-409C-BE32-E72D297353CC}">
                <c16:uniqueId val="{00000009-C209-430D-9F87-8822605EC288}"/>
              </c:ext>
            </c:extLst>
          </c:dPt>
          <c:dPt>
            <c:idx val="18"/>
            <c:invertIfNegative val="0"/>
            <c:bubble3D val="0"/>
            <c:spPr>
              <a:solidFill>
                <a:srgbClr val="A25EB5"/>
              </a:solidFill>
              <a:ln>
                <a:noFill/>
              </a:ln>
              <a:effectLst/>
            </c:spPr>
            <c:extLst>
              <c:ext xmlns:c16="http://schemas.microsoft.com/office/drawing/2014/chart" uri="{C3380CC4-5D6E-409C-BE32-E72D297353CC}">
                <c16:uniqueId val="{0000000A-C209-430D-9F87-8822605EC288}"/>
              </c:ext>
            </c:extLst>
          </c:dPt>
          <c:dPt>
            <c:idx val="19"/>
            <c:invertIfNegative val="0"/>
            <c:bubble3D val="0"/>
            <c:spPr>
              <a:solidFill>
                <a:srgbClr val="A25EB5"/>
              </a:solidFill>
              <a:ln>
                <a:noFill/>
              </a:ln>
              <a:effectLst/>
            </c:spPr>
            <c:extLst>
              <c:ext xmlns:c16="http://schemas.microsoft.com/office/drawing/2014/chart" uri="{C3380CC4-5D6E-409C-BE32-E72D297353CC}">
                <c16:uniqueId val="{0000000B-C209-430D-9F87-8822605EC288}"/>
              </c:ext>
            </c:extLst>
          </c:dPt>
          <c:dPt>
            <c:idx val="20"/>
            <c:invertIfNegative val="0"/>
            <c:bubble3D val="0"/>
            <c:spPr>
              <a:solidFill>
                <a:srgbClr val="A25EB5"/>
              </a:solidFill>
              <a:ln>
                <a:noFill/>
              </a:ln>
              <a:effectLst/>
            </c:spPr>
            <c:extLst>
              <c:ext xmlns:c16="http://schemas.microsoft.com/office/drawing/2014/chart" uri="{C3380CC4-5D6E-409C-BE32-E72D297353CC}">
                <c16:uniqueId val="{0000001A-058F-4083-881A-90619B337496}"/>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'Quant analysis'!$CW$37:$CX$57</c:f>
              <c:multiLvlStrCache>
                <c:ptCount val="21"/>
                <c:lvl>
                  <c:pt idx="0">
                    <c:v>FY19</c:v>
                  </c:pt>
                  <c:pt idx="1">
                    <c:v>FY20</c:v>
                  </c:pt>
                  <c:pt idx="2">
                    <c:v>FY21</c:v>
                  </c:pt>
                  <c:pt idx="3">
                    <c:v>FY22</c:v>
                  </c:pt>
                  <c:pt idx="4">
                    <c:v>FY23</c:v>
                  </c:pt>
                  <c:pt idx="5">
                    <c:v>FY24</c:v>
                  </c:pt>
                  <c:pt idx="6">
                    <c:v>FY25</c:v>
                  </c:pt>
                  <c:pt idx="7">
                    <c:v>FY19</c:v>
                  </c:pt>
                  <c:pt idx="8">
                    <c:v>FY20</c:v>
                  </c:pt>
                  <c:pt idx="9">
                    <c:v>FY21</c:v>
                  </c:pt>
                  <c:pt idx="10">
                    <c:v>FY22</c:v>
                  </c:pt>
                  <c:pt idx="11">
                    <c:v>FY23</c:v>
                  </c:pt>
                  <c:pt idx="12">
                    <c:v>FY24</c:v>
                  </c:pt>
                  <c:pt idx="13">
                    <c:v>FY25</c:v>
                  </c:pt>
                  <c:pt idx="14">
                    <c:v>FY19</c:v>
                  </c:pt>
                  <c:pt idx="15">
                    <c:v>FY20</c:v>
                  </c:pt>
                  <c:pt idx="16">
                    <c:v>FY21</c:v>
                  </c:pt>
                  <c:pt idx="17">
                    <c:v>FY22</c:v>
                  </c:pt>
                  <c:pt idx="18">
                    <c:v>FY23</c:v>
                  </c:pt>
                  <c:pt idx="19">
                    <c:v>FY24</c:v>
                  </c:pt>
                  <c:pt idx="20">
                    <c:v>FY25</c:v>
                  </c:pt>
                </c:lvl>
                <c:lvl>
                  <c:pt idx="0">
                    <c:v>Structural change (Explicit)</c:v>
                  </c:pt>
                  <c:pt idx="7">
                    <c:v>Relational Change (semi-explicit)</c:v>
                  </c:pt>
                  <c:pt idx="14">
                    <c:v>Transformative change (implicit)</c:v>
                  </c:pt>
                </c:lvl>
              </c:multiLvlStrCache>
            </c:multiLvlStrRef>
          </c:cat>
          <c:val>
            <c:numRef>
              <c:f>'Quant analysis'!$CY$37:$CY$57</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4-BD8B-40BC-A55D-B076429B4F7A}"/>
            </c:ext>
          </c:extLst>
        </c:ser>
        <c:dLbls>
          <c:showLegendKey val="0"/>
          <c:showVal val="0"/>
          <c:showCatName val="0"/>
          <c:showSerName val="0"/>
          <c:showPercent val="0"/>
          <c:showBubbleSize val="0"/>
        </c:dLbls>
        <c:gapWidth val="36"/>
        <c:overlap val="-27"/>
        <c:axId val="787841919"/>
        <c:axId val="787843359"/>
      </c:barChart>
      <c:catAx>
        <c:axId val="78784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3359"/>
        <c:crosses val="autoZero"/>
        <c:auto val="1"/>
        <c:lblAlgn val="ctr"/>
        <c:lblOffset val="100"/>
        <c:noMultiLvlLbl val="0"/>
      </c:catAx>
      <c:valAx>
        <c:axId val="787843359"/>
        <c:scaling>
          <c:orientation val="minMax"/>
          <c:max val="80"/>
        </c:scaling>
        <c:delete val="1"/>
        <c:axPos val="l"/>
        <c:numFmt formatCode="General" sourceLinked="1"/>
        <c:majorTickMark val="none"/>
        <c:minorTickMark val="none"/>
        <c:tickLblPos val="nextTo"/>
        <c:crossAx val="7878419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GT"/>
              <a:t>What contributes to Policy changes at subnational and national levels?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'Quant analysis'!$DI$42</c:f>
              <c:strCache>
                <c:ptCount val="1"/>
                <c:pt idx="0">
                  <c:v>Policies</c:v>
                </c:pt>
              </c:strCache>
            </c:strRef>
          </c:tx>
          <c:spPr>
            <a:solidFill>
              <a:srgbClr val="00468B"/>
            </a:solidFill>
            <a:ln w="38100">
              <a:solidFill>
                <a:srgbClr val="00468B"/>
              </a:solidFill>
            </a:ln>
            <a:effectLst/>
          </c:spPr>
          <c:invertIfNegative val="0"/>
          <c:dPt>
            <c:idx val="0"/>
            <c:invertIfNegative val="0"/>
            <c:bubble3D val="0"/>
            <c:spPr>
              <a:noFill/>
              <a:ln w="38100">
                <a:solidFill>
                  <a:srgbClr val="00468B"/>
                </a:solidFill>
              </a:ln>
              <a:effectLst/>
            </c:spPr>
            <c:extLst>
              <c:ext xmlns:c16="http://schemas.microsoft.com/office/drawing/2014/chart" uri="{C3380CC4-5D6E-409C-BE32-E72D297353CC}">
                <c16:uniqueId val="{00000001-BFE0-48A2-B430-F86A1C5E3EA7}"/>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E0-48A2-B430-F86A1C5E3EA7}"/>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E0-48A2-B430-F86A1C5E3EA7}"/>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E0-48A2-B430-F86A1C5E3EA7}"/>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E0-48A2-B430-F86A1C5E3EA7}"/>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E0-48A2-B430-F86A1C5E3EA7}"/>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E0-48A2-B430-F86A1C5E3EA7}"/>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E0-48A2-B430-F86A1C5E3EA7}"/>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ext>
              </c:extLst>
              <c:f>'Quant analysis'!$DH$43:$DH$49</c:f>
              <c:strCache>
                <c:ptCount val="7"/>
                <c:pt idx="0">
                  <c:v>Total outcomes</c:v>
                </c:pt>
                <c:pt idx="1">
                  <c:v>Govt meetings</c:v>
                </c:pt>
                <c:pt idx="2">
                  <c:v>Stakeholders supported</c:v>
                </c:pt>
                <c:pt idx="3">
                  <c:v>Learning products</c:v>
                </c:pt>
                <c:pt idx="4">
                  <c:v>Demo learning</c:v>
                </c:pt>
                <c:pt idx="5">
                  <c:v>TA</c:v>
                </c:pt>
                <c:pt idx="6">
                  <c:v>SSW trained </c:v>
                </c:pt>
              </c:strCache>
            </c:strRef>
          </c:cat>
          <c:val>
            <c:numRef>
              <c:extLst>
                <c:ext xmlns:c15="http://schemas.microsoft.com/office/drawing/2012/chart" uri="{02D57815-91ED-43cb-92C2-25804820EDAC}">
                  <c15:fullRef>
                    <c15:sqref>'Quant analysis'!$DI$43:$DI$59</c15:sqref>
                  </c15:fullRef>
                </c:ext>
              </c:extLst>
              <c:f>'Quant analysis'!$DI$43:$DI$49</c:f>
              <c:numCache>
                <c:formatCode>General</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categoryFilterExceptions>
                <c15:categoryFilterException>
                  <c15:sqref>'Quant analysis'!$DI$57</c15:sqref>
                  <c15:dLbl>
                    <c:idx val="6"/>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A11A-8C46-A437-60EA1CDE5B10}"/>
                      </c:ext>
                    </c:extLst>
                  </c15:dLbl>
                </c15:categoryFilterException>
                <c15:categoryFilterException>
                  <c15:sqref>'Quant analysis'!$DI$59</c15:sqref>
                  <c15:dLbl>
                    <c:idx val="6"/>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3-A11A-8C46-A437-60EA1CDE5B10}"/>
                      </c:ext>
                    </c:extLst>
                  </c15:dLbl>
                </c15:categoryFilterException>
              </c15:categoryFilterExceptions>
            </c:ext>
            <c:ext xmlns:c16="http://schemas.microsoft.com/office/drawing/2014/chart" uri="{C3380CC4-5D6E-409C-BE32-E72D297353CC}">
              <c16:uniqueId val="{0000000C-BFE0-48A2-B430-F86A1C5E3EA7}"/>
            </c:ext>
          </c:extLst>
        </c:ser>
        <c:dLbls>
          <c:dLblPos val="outEnd"/>
          <c:showLegendKey val="0"/>
          <c:showVal val="1"/>
          <c:showCatName val="0"/>
          <c:showSerName val="0"/>
          <c:showPercent val="0"/>
          <c:showBubbleSize val="0"/>
        </c:dLbls>
        <c:gapWidth val="20"/>
        <c:axId val="1400519279"/>
        <c:axId val="1446284799"/>
      </c:barChart>
      <c:catAx>
        <c:axId val="1400519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46284799"/>
        <c:crosses val="autoZero"/>
        <c:auto val="1"/>
        <c:lblAlgn val="ctr"/>
        <c:lblOffset val="100"/>
        <c:noMultiLvlLbl val="0"/>
      </c:catAx>
      <c:valAx>
        <c:axId val="1446284799"/>
        <c:scaling>
          <c:orientation val="minMax"/>
          <c:max val="50"/>
          <c:min val="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00519279"/>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GT"/>
              <a:t>What contributes to changes of Practices at subnational and national levels?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1"/>
          <c:order val="1"/>
          <c:tx>
            <c:strRef>
              <c:f>'Quant analysis'!$DJ$42</c:f>
              <c:strCache>
                <c:ptCount val="1"/>
                <c:pt idx="0">
                  <c:v>Practices</c:v>
                </c:pt>
              </c:strCache>
            </c:strRef>
          </c:tx>
          <c:spPr>
            <a:solidFill>
              <a:srgbClr val="00468B">
                <a:alpha val="80000"/>
              </a:srgbClr>
            </a:solidFill>
            <a:ln w="38100">
              <a:solidFill>
                <a:srgbClr val="00468B">
                  <a:alpha val="80000"/>
                </a:srgbClr>
              </a:solidFill>
            </a:ln>
            <a:effectLst/>
          </c:spPr>
          <c:invertIfNegative val="0"/>
          <c:dPt>
            <c:idx val="0"/>
            <c:invertIfNegative val="0"/>
            <c:bubble3D val="0"/>
            <c:spPr>
              <a:noFill/>
              <a:ln w="38100">
                <a:solidFill>
                  <a:srgbClr val="00468B">
                    <a:alpha val="80000"/>
                  </a:srgbClr>
                </a:solidFill>
              </a:ln>
              <a:effectLst/>
            </c:spPr>
            <c:extLst>
              <c:ext xmlns:c16="http://schemas.microsoft.com/office/drawing/2014/chart" uri="{C3380CC4-5D6E-409C-BE32-E72D297353CC}">
                <c16:uniqueId val="{00000010-D242-4502-851E-E2361AEA8A45}"/>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ext>
              </c:extLst>
              <c:f>'Quant analysis'!$DH$43:$DH$51</c:f>
              <c:strCache>
                <c:ptCount val="9"/>
                <c:pt idx="0">
                  <c:v>Total outcomes</c:v>
                </c:pt>
                <c:pt idx="1">
                  <c:v>Govt meetings</c:v>
                </c:pt>
                <c:pt idx="2">
                  <c:v>Stakeholders supported</c:v>
                </c:pt>
                <c:pt idx="3">
                  <c:v>Learning products</c:v>
                </c:pt>
                <c:pt idx="4">
                  <c:v>Demo learning</c:v>
                </c:pt>
                <c:pt idx="5">
                  <c:v>TA</c:v>
                </c:pt>
                <c:pt idx="6">
                  <c:v>SSW trained </c:v>
                </c:pt>
                <c:pt idx="7">
                  <c:v>Community awareness raising</c:v>
                </c:pt>
                <c:pt idx="8">
                  <c:v>Gatekeeping training and mechanisms</c:v>
                </c:pt>
              </c:strCache>
            </c:strRef>
          </c:cat>
          <c:val>
            <c:numRef>
              <c:extLst>
                <c:ext xmlns:c15="http://schemas.microsoft.com/office/drawing/2012/chart" uri="{02D57815-91ED-43cb-92C2-25804820EDAC}">
                  <c15:fullRef>
                    <c15:sqref>'Quant analysis'!$DJ$43:$DJ$59</c15:sqref>
                  </c15:fullRef>
                </c:ext>
              </c:extLst>
              <c:f>'Quant analysis'!$DJ$43:$DJ$51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D242-4502-851E-E2361AEA8A45}"/>
            </c:ext>
          </c:extLst>
        </c:ser>
        <c:dLbls>
          <c:dLblPos val="outEnd"/>
          <c:showLegendKey val="0"/>
          <c:showVal val="1"/>
          <c:showCatName val="0"/>
          <c:showSerName val="0"/>
          <c:showPercent val="0"/>
          <c:showBubbleSize val="0"/>
        </c:dLbls>
        <c:gapWidth val="20"/>
        <c:axId val="1400519279"/>
        <c:axId val="1446284799"/>
        <c:extLst>
          <c:ext xmlns:c15="http://schemas.microsoft.com/office/drawing/2012/chart" uri="{02D57815-91ED-43cb-92C2-25804820EDAC}">
            <c15:filteredBarSeries>
              <c15:ser>
                <c:idx val="0"/>
                <c:order val="0"/>
                <c:tx>
                  <c:strRef>
                    <c:extLst>
                      <c:ext uri="{02D57815-91ED-43cb-92C2-25804820EDAC}">
                        <c15:formulaRef>
                          <c15:sqref>'Quant analysis'!$DI$42</c15:sqref>
                        </c15:formulaRef>
                      </c:ext>
                    </c:extLst>
                    <c:strCache>
                      <c:ptCount val="1"/>
                      <c:pt idx="0">
                        <c:v>Policies</c:v>
                      </c:pt>
                    </c:strCache>
                  </c:strRef>
                </c:tx>
                <c:spPr>
                  <a:solidFill>
                    <a:srgbClr val="A25EB5"/>
                  </a:solidFill>
                  <a:ln w="38100">
                    <a:solidFill>
                      <a:srgbClr val="A25EB5"/>
                    </a:solidFill>
                  </a:ln>
                  <a:effectLst/>
                </c:spPr>
                <c:invertIfNegative val="0"/>
                <c:dPt>
                  <c:idx val="0"/>
                  <c:invertIfNegative val="0"/>
                  <c:bubble3D val="0"/>
                  <c:spPr>
                    <a:noFill/>
                    <a:ln w="38100">
                      <a:solidFill>
                        <a:srgbClr val="A25EB5"/>
                      </a:solidFill>
                    </a:ln>
                    <a:effectLst/>
                  </c:spPr>
                  <c:extLst>
                    <c:ext xmlns:c16="http://schemas.microsoft.com/office/drawing/2014/chart" uri="{C3380CC4-5D6E-409C-BE32-E72D297353CC}">
                      <c16:uniqueId val="{00000001-D242-4502-851E-E2361AEA8A45}"/>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D242-4502-851E-E2361AEA8A45}"/>
                      </c:ext>
                    </c:extLst>
                  </c:dLbl>
                  <c:dLbl>
                    <c:idx val="1"/>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D242-4502-851E-E2361AEA8A45}"/>
                      </c:ext>
                    </c:extLst>
                  </c:dLbl>
                  <c:dLbl>
                    <c:idx val="2"/>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3-D242-4502-851E-E2361AEA8A45}"/>
                      </c:ext>
                    </c:extLst>
                  </c:dLbl>
                  <c:dLbl>
                    <c:idx val="3"/>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D242-4502-851E-E2361AEA8A45}"/>
                      </c:ext>
                    </c:extLst>
                  </c:dLbl>
                  <c: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D242-4502-851E-E2361AEA8A45}"/>
                      </c:ext>
                    </c:extLst>
                  </c:dLbl>
                  <c:dLbl>
                    <c:idx val="5"/>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D242-4502-851E-E2361AEA8A45}"/>
                      </c:ext>
                    </c:extLst>
                  </c:dLbl>
                  <c:dLbl>
                    <c:idx val="6"/>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7-D242-4502-851E-E2361AEA8A4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'Quant analysis'!$DH$43:$DH$59</c15:sqref>
                        </c15:fullRef>
                        <c15:formulaRef>
                          <c15:sqref>'Quant analysis'!$DH$43:$DH$51</c15:sqref>
                        </c15:formulaRef>
                      </c:ext>
                    </c:extLst>
                    <c:strCache>
                      <c:ptCount val="9"/>
                      <c:pt idx="0">
                        <c:v>Total outcomes</c:v>
                      </c:pt>
                      <c:pt idx="1">
                        <c:v>Govt meetings</c:v>
                      </c:pt>
                      <c:pt idx="2">
                        <c:v>Stakeholders supported</c:v>
                      </c:pt>
                      <c:pt idx="3">
                        <c:v>Learning products</c:v>
                      </c:pt>
                      <c:pt idx="4">
                        <c:v>Demo learning</c:v>
                      </c:pt>
                      <c:pt idx="5">
                        <c:v>TA</c:v>
                      </c:pt>
                      <c:pt idx="6">
                        <c:v>SSW trained </c:v>
                      </c:pt>
                      <c:pt idx="7">
                        <c:v>Community awareness raising</c:v>
                      </c:pt>
                      <c:pt idx="8">
                        <c:v>Gatekeeping training and mechanisms</c:v>
                      </c:pt>
                    </c:strCache>
                  </c:strRef>
                </c:cat>
                <c:val>
                  <c:numRef>
                    <c:extLst>
                      <c:ext uri="{02D57815-91ED-43cb-92C2-25804820EDAC}">
                        <c15:fullRef>
                          <c15:sqref>'Quant analysis'!$DI$43:$DI$59</c15:sqref>
                        </c15:fullRef>
                        <c15:formulaRef>
                          <c15:sqref>'Quant analysis'!$DI$43:$DI$51</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uri="{02D57815-91ED-43cb-92C2-25804820EDAC}">
                    <c15:categoryFilterExceptions>
                      <c15:categoryFilterException>
                        <c15:sqref>'Quant analysis'!$DI$57</c15:sqref>
                        <c15:dLbl>
                          <c:idx val="8"/>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C1FF-974B-ABBD-4B13CB1B2A16}"/>
                            </c:ext>
                          </c:extLst>
                        </c15:dLbl>
                      </c15:categoryFilterException>
                      <c15:categoryFilterException>
                        <c15:sqref>'Quant analysis'!$DI$59</c15:sqref>
                        <c15:dLbl>
                          <c:idx val="8"/>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C1FF-974B-ABBD-4B13CB1B2A16}"/>
                            </c:ext>
                          </c:extLst>
                        </c15:dLbl>
                      </c15:categoryFilterException>
                    </c15:categoryFilterExceptions>
                  </c:ext>
                  <c:ext xmlns:c16="http://schemas.microsoft.com/office/drawing/2014/chart" uri="{C3380CC4-5D6E-409C-BE32-E72D297353CC}">
                    <c16:uniqueId val="{0000000A-D242-4502-851E-E2361AEA8A4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'Quant analysis'!$DK$42</c15:sqref>
                        </c15:formulaRef>
                      </c:ext>
                    </c:extLst>
                    <c:strCache>
                      <c:ptCount val="1"/>
                      <c:pt idx="0">
                        <c:v>Resource Flows</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analysis'!$DH$43:$DH$51</c15:sqref>
                        </c15:formulaRef>
                      </c:ext>
                    </c:extLst>
                    <c:strCache>
                      <c:ptCount val="9"/>
                      <c:pt idx="0">
                        <c:v>Total outcomes</c:v>
                      </c:pt>
                      <c:pt idx="1">
                        <c:v>Govt meetings</c:v>
                      </c:pt>
                      <c:pt idx="2">
                        <c:v>Stakeholders supported</c:v>
                      </c:pt>
                      <c:pt idx="3">
                        <c:v>Learning products</c:v>
                      </c:pt>
                      <c:pt idx="4">
                        <c:v>Demo learning</c:v>
                      </c:pt>
                      <c:pt idx="5">
                        <c:v>TA</c:v>
                      </c:pt>
                      <c:pt idx="6">
                        <c:v>SSW trained </c:v>
                      </c:pt>
                      <c:pt idx="7">
                        <c:v>Community awareness raising</c:v>
                      </c:pt>
                      <c:pt idx="8">
                        <c:v>Gatekeeping training and mechanisms</c:v>
                      </c:pt>
                    </c:strCache>
                  </c:strRef>
                </c:cat>
                <c:val>
                  <c:numRef>
                    <c:extLst>
                      <c:ext xmlns:c15="http://schemas.microsoft.com/office/drawing/2012/chart" uri="{02D57815-91ED-43cb-92C2-25804820EDAC}">
                        <c15:fullRef>
                          <c15:sqref>'Quant analysis'!$DK$43:$DK$59</c15:sqref>
                        </c15:fullRef>
                        <c15:formulaRef>
                          <c15:sqref>'Quant analysis'!$DK$43:$DK$51</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C-D242-4502-851E-E2361AEA8A4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'Quant analysis'!$DL$42</c15:sqref>
                        </c15:formulaRef>
                      </c:ext>
                    </c:extLst>
                    <c:strCache>
                      <c:ptCount val="1"/>
                      <c:pt idx="0">
                        <c:v>Relationships&amp; Connections</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analysis'!$DH$43:$DH$51</c15:sqref>
                        </c15:formulaRef>
                      </c:ext>
                    </c:extLst>
                    <c:strCache>
                      <c:ptCount val="9"/>
                      <c:pt idx="0">
                        <c:v>Total outcomes</c:v>
                      </c:pt>
                      <c:pt idx="1">
                        <c:v>Govt meetings</c:v>
                      </c:pt>
                      <c:pt idx="2">
                        <c:v>Stakeholders supported</c:v>
                      </c:pt>
                      <c:pt idx="3">
                        <c:v>Learning products</c:v>
                      </c:pt>
                      <c:pt idx="4">
                        <c:v>Demo learning</c:v>
                      </c:pt>
                      <c:pt idx="5">
                        <c:v>TA</c:v>
                      </c:pt>
                      <c:pt idx="6">
                        <c:v>SSW trained </c:v>
                      </c:pt>
                      <c:pt idx="7">
                        <c:v>Community awareness raising</c:v>
                      </c:pt>
                      <c:pt idx="8">
                        <c:v>Gatekeeping training and mechanisms</c:v>
                      </c:pt>
                    </c:strCache>
                  </c:strRef>
                </c:cat>
                <c:val>
                  <c:numRef>
                    <c:extLst>
                      <c:ext xmlns:c15="http://schemas.microsoft.com/office/drawing/2012/chart" uri="{02D57815-91ED-43cb-92C2-25804820EDAC}">
                        <c15:fullRef>
                          <c15:sqref>'Quant analysis'!$DL$43:$DL$59</c15:sqref>
                        </c15:fullRef>
                        <c15:formulaRef>
                          <c15:sqref>'Quant analysis'!$DL$43:$DL$51</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D-D242-4502-851E-E2361AEA8A4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'Quant analysis'!$DM$42</c15:sqref>
                        </c15:formulaRef>
                      </c:ext>
                    </c:extLst>
                    <c:strCache>
                      <c:ptCount val="1"/>
                      <c:pt idx="0">
                        <c:v>Power Dynamics</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analysis'!$DH$43:$DH$51</c15:sqref>
                        </c15:formulaRef>
                      </c:ext>
                    </c:extLst>
                    <c:strCache>
                      <c:ptCount val="9"/>
                      <c:pt idx="0">
                        <c:v>Total outcomes</c:v>
                      </c:pt>
                      <c:pt idx="1">
                        <c:v>Govt meetings</c:v>
                      </c:pt>
                      <c:pt idx="2">
                        <c:v>Stakeholders supported</c:v>
                      </c:pt>
                      <c:pt idx="3">
                        <c:v>Learning products</c:v>
                      </c:pt>
                      <c:pt idx="4">
                        <c:v>Demo learning</c:v>
                      </c:pt>
                      <c:pt idx="5">
                        <c:v>TA</c:v>
                      </c:pt>
                      <c:pt idx="6">
                        <c:v>SSW trained </c:v>
                      </c:pt>
                      <c:pt idx="7">
                        <c:v>Community awareness raising</c:v>
                      </c:pt>
                      <c:pt idx="8">
                        <c:v>Gatekeeping training and mechanisms</c:v>
                      </c:pt>
                    </c:strCache>
                  </c:strRef>
                </c:cat>
                <c:val>
                  <c:numRef>
                    <c:extLst>
                      <c:ext xmlns:c15="http://schemas.microsoft.com/office/drawing/2012/chart" uri="{02D57815-91ED-43cb-92C2-25804820EDAC}">
                        <c15:fullRef>
                          <c15:sqref>'Quant analysis'!$DM$43:$DM$59</c15:sqref>
                        </c15:fullRef>
                        <c15:formulaRef>
                          <c15:sqref>'Quant analysis'!$DM$43:$DM$51</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E-D242-4502-851E-E2361AEA8A4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'Quant analysis'!$DN$42</c15:sqref>
                        </c15:formulaRef>
                      </c:ext>
                    </c:extLst>
                    <c:strCache>
                      <c:ptCount val="1"/>
                      <c:pt idx="0">
                        <c:v>Mental Models</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analysis'!$DH$43:$DH$51</c15:sqref>
                        </c15:formulaRef>
                      </c:ext>
                    </c:extLst>
                    <c:strCache>
                      <c:ptCount val="9"/>
                      <c:pt idx="0">
                        <c:v>Total outcomes</c:v>
                      </c:pt>
                      <c:pt idx="1">
                        <c:v>Govt meetings</c:v>
                      </c:pt>
                      <c:pt idx="2">
                        <c:v>Stakeholders supported</c:v>
                      </c:pt>
                      <c:pt idx="3">
                        <c:v>Learning products</c:v>
                      </c:pt>
                      <c:pt idx="4">
                        <c:v>Demo learning</c:v>
                      </c:pt>
                      <c:pt idx="5">
                        <c:v>TA</c:v>
                      </c:pt>
                      <c:pt idx="6">
                        <c:v>SSW trained </c:v>
                      </c:pt>
                      <c:pt idx="7">
                        <c:v>Community awareness raising</c:v>
                      </c:pt>
                      <c:pt idx="8">
                        <c:v>Gatekeeping training and mechanisms</c:v>
                      </c:pt>
                    </c:strCache>
                  </c:strRef>
                </c:cat>
                <c:val>
                  <c:numRef>
                    <c:extLst>
                      <c:ext xmlns:c15="http://schemas.microsoft.com/office/drawing/2012/chart" uri="{02D57815-91ED-43cb-92C2-25804820EDAC}">
                        <c15:fullRef>
                          <c15:sqref>'Quant analysis'!$DN$43:$DN$59</c15:sqref>
                        </c15:fullRef>
                        <c15:formulaRef>
                          <c15:sqref>'Quant analysis'!$DN$43:$DN$51</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F-D242-4502-851E-E2361AEA8A45}"/>
                  </c:ext>
                </c:extLst>
              </c15:ser>
            </c15:filteredBarSeries>
          </c:ext>
        </c:extLst>
      </c:barChart>
      <c:catAx>
        <c:axId val="1400519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46284799"/>
        <c:crosses val="autoZero"/>
        <c:auto val="1"/>
        <c:lblAlgn val="ctr"/>
        <c:lblOffset val="100"/>
        <c:noMultiLvlLbl val="0"/>
      </c:catAx>
      <c:valAx>
        <c:axId val="1446284799"/>
        <c:scaling>
          <c:orientation val="minMax"/>
          <c:max val="120"/>
          <c:min val="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0051927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GT"/>
              <a:t>What contributes to changes of Resource Flows at subnational and national levels?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2"/>
          <c:order val="2"/>
          <c:tx>
            <c:strRef>
              <c:f>'Quant analysis'!$DK$42</c:f>
              <c:strCache>
                <c:ptCount val="1"/>
                <c:pt idx="0">
                  <c:v>Resource Flows</c:v>
                </c:pt>
              </c:strCache>
              <c:extLst xmlns:c15="http://schemas.microsoft.com/office/drawing/2012/chart"/>
            </c:strRef>
          </c:tx>
          <c:spPr>
            <a:solidFill>
              <a:srgbClr val="00468B">
                <a:alpha val="50196"/>
              </a:srgbClr>
            </a:solidFill>
            <a:ln w="19050">
              <a:solidFill>
                <a:schemeClr val="lt1"/>
              </a:solidFill>
            </a:ln>
            <a:effectLst/>
          </c:spPr>
          <c:invertIfNegative val="0"/>
          <c:dPt>
            <c:idx val="0"/>
            <c:invertIfNegative val="0"/>
            <c:bubble3D val="0"/>
            <c:spPr>
              <a:noFill/>
              <a:ln w="38100">
                <a:solidFill>
                  <a:srgbClr val="7095AC"/>
                </a:solidFill>
              </a:ln>
              <a:effectLst/>
            </c:spPr>
            <c:extLst>
              <c:ext xmlns:c16="http://schemas.microsoft.com/office/drawing/2014/chart" uri="{C3380CC4-5D6E-409C-BE32-E72D297353CC}">
                <c16:uniqueId val="{00000012-E15D-47D6-A5A6-A1B6F73F4F38}"/>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ext>
              </c:extLst>
              <c:f>('Quant analysis'!$DH$43:$DH$47,'Quant analysis'!$DH$49:$DH$50,'Quant analysis'!$DH$54)</c:f>
              <c:strCache>
                <c:ptCount val="8"/>
                <c:pt idx="0">
                  <c:v>Total outcomes</c:v>
                </c:pt>
                <c:pt idx="1">
                  <c:v>Govt meetings</c:v>
                </c:pt>
                <c:pt idx="2">
                  <c:v>Stakeholders supported</c:v>
                </c:pt>
                <c:pt idx="3">
                  <c:v>Learning products</c:v>
                </c:pt>
                <c:pt idx="4">
                  <c:v>Demo learning</c:v>
                </c:pt>
                <c:pt idx="5">
                  <c:v>SSW trained </c:v>
                </c:pt>
                <c:pt idx="6">
                  <c:v>Community awareness raising</c:v>
                </c:pt>
                <c:pt idx="7">
                  <c:v>External events</c:v>
                </c:pt>
              </c:strCache>
            </c:strRef>
          </c:cat>
          <c:val>
            <c:numRef>
              <c:extLst>
                <c:ext xmlns:c15="http://schemas.microsoft.com/office/drawing/2012/chart" uri="{02D57815-91ED-43cb-92C2-25804820EDAC}">
                  <c15:fullRef>
                    <c15:sqref>'Quant analysis'!$DK$43:$DK$59</c15:sqref>
                  </c15:fullRef>
                </c:ext>
              </c:extLst>
              <c:f>('Quant analysis'!$DK$43:$DK$47,'Quant analysis'!$DK$49:$DK$50,'Quant analysis'!$DK$54)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E15D-47D6-A5A6-A1B6F73F4F38}"/>
            </c:ext>
          </c:extLst>
        </c:ser>
        <c:dLbls>
          <c:dLblPos val="outEnd"/>
          <c:showLegendKey val="0"/>
          <c:showVal val="1"/>
          <c:showCatName val="0"/>
          <c:showSerName val="0"/>
          <c:showPercent val="0"/>
          <c:showBubbleSize val="0"/>
        </c:dLbls>
        <c:gapWidth val="20"/>
        <c:axId val="1400519279"/>
        <c:axId val="1446284799"/>
        <c:extLst>
          <c:ext xmlns:c15="http://schemas.microsoft.com/office/drawing/2012/chart" uri="{02D57815-91ED-43cb-92C2-25804820EDAC}">
            <c15:filteredBarSeries>
              <c15:ser>
                <c:idx val="0"/>
                <c:order val="0"/>
                <c:tx>
                  <c:strRef>
                    <c:extLst>
                      <c:ext uri="{02D57815-91ED-43cb-92C2-25804820EDAC}">
                        <c15:formulaRef>
                          <c15:sqref>'Quant analysis'!$DI$42</c15:sqref>
                        </c15:formulaRef>
                      </c:ext>
                    </c:extLst>
                    <c:strCache>
                      <c:ptCount val="1"/>
                      <c:pt idx="0">
                        <c:v>Policies</c:v>
                      </c:pt>
                    </c:strCache>
                  </c:strRef>
                </c:tx>
                <c:spPr>
                  <a:solidFill>
                    <a:srgbClr val="A25EB5"/>
                  </a:solidFill>
                  <a:ln w="38100">
                    <a:solidFill>
                      <a:srgbClr val="A25EB5"/>
                    </a:solidFill>
                  </a:ln>
                  <a:effectLst/>
                </c:spPr>
                <c:invertIfNegative val="0"/>
                <c:dPt>
                  <c:idx val="0"/>
                  <c:invertIfNegative val="0"/>
                  <c:bubble3D val="0"/>
                  <c:spPr>
                    <a:noFill/>
                    <a:ln w="38100">
                      <a:solidFill>
                        <a:srgbClr val="A25EB5"/>
                      </a:solidFill>
                    </a:ln>
                    <a:effectLst/>
                  </c:spPr>
                  <c:extLst>
                    <c:ext xmlns:c16="http://schemas.microsoft.com/office/drawing/2014/chart" uri="{C3380CC4-5D6E-409C-BE32-E72D297353CC}">
                      <c16:uniqueId val="{00000004-E15D-47D6-A5A6-A1B6F73F4F38}"/>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E15D-47D6-A5A6-A1B6F73F4F38}"/>
                      </c:ext>
                    </c:extLst>
                  </c:dLbl>
                  <c:dLbl>
                    <c:idx val="1"/>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E15D-47D6-A5A6-A1B6F73F4F38}"/>
                      </c:ext>
                    </c:extLst>
                  </c:dLbl>
                  <c:dLbl>
                    <c:idx val="2"/>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E15D-47D6-A5A6-A1B6F73F4F38}"/>
                      </c:ext>
                    </c:extLst>
                  </c:dLbl>
                  <c:dLbl>
                    <c:idx val="3"/>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7-E15D-47D6-A5A6-A1B6F73F4F38}"/>
                      </c:ext>
                    </c:extLst>
                  </c:dLbl>
                  <c: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E15D-47D6-A5A6-A1B6F73F4F38}"/>
                      </c:ext>
                    </c:extLst>
                  </c:dLbl>
                  <c:dLbl>
                    <c:idx val="5"/>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A-E15D-47D6-A5A6-A1B6F73F4F38}"/>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'Quant analysis'!$DH$43:$DH$59</c15:sqref>
                        </c15:fullRef>
                        <c15:formulaRef>
                          <c15:sqref>('Quant analysis'!$DH$43:$DH$47,'Quant analysis'!$DH$49:$DH$50,'Quant analysis'!$DH$54)</c15:sqref>
                        </c15:formulaRef>
                      </c:ext>
                    </c:extLst>
                    <c:strCache>
                      <c:ptCount val="8"/>
                      <c:pt idx="0">
                        <c:v>Total outcomes</c:v>
                      </c:pt>
                      <c:pt idx="1">
                        <c:v>Govt meetings</c:v>
                      </c:pt>
                      <c:pt idx="2">
                        <c:v>Stakeholders supported</c:v>
                      </c:pt>
                      <c:pt idx="3">
                        <c:v>Learning products</c:v>
                      </c:pt>
                      <c:pt idx="4">
                        <c:v>Demo learning</c:v>
                      </c:pt>
                      <c:pt idx="5">
                        <c:v>SSW trained </c:v>
                      </c:pt>
                      <c:pt idx="6">
                        <c:v>Community awareness raising</c:v>
                      </c:pt>
                      <c:pt idx="7">
                        <c:v>External events</c:v>
                      </c:pt>
                    </c:strCache>
                  </c:strRef>
                </c:cat>
                <c:val>
                  <c:numRef>
                    <c:extLst>
                      <c:ext uri="{02D57815-91ED-43cb-92C2-25804820EDAC}">
                        <c15:fullRef>
                          <c15:sqref>'Quant analysis'!$DI$43:$DI$59</c15:sqref>
                        </c15:fullRef>
                        <c15:formulaRef>
                          <c15:sqref>('Quant analysis'!$DI$43:$DI$47,'Quant analysis'!$DI$49:$DI$50,'Quant analysis'!$DI$54)</c15:sqref>
                        </c15:formulaRef>
                      </c:ext>
                    </c:extLst>
                    <c:numCache>
                      <c:formatCode>General</c:formatCode>
                      <c:ptCount val="8"/>
                      <c:pt idx="0">
                        <c:v>0</c:v>
                      </c:pt>
                      <c:pt idx="1">
                        <c:v>0</c:v>
                      </c:pt>
                      <c:pt idx="2">
                        <c:v>0</c:v>
                      </c:pt>
                      <c:pt idx="3">
                        <c:v>0</c:v>
                      </c:pt>
                      <c:pt idx="4">
                        <c:v>0</c:v>
                      </c:pt>
                      <c:pt idx="5">
                        <c:v>0</c:v>
                      </c:pt>
                      <c:pt idx="6">
                        <c:v>0</c:v>
                      </c:pt>
                      <c:pt idx="7">
                        <c:v>0</c:v>
                      </c:pt>
                    </c:numCache>
                  </c:numRef>
                </c:val>
                <c:extLst>
                  <c:ext uri="{02D57815-91ED-43cb-92C2-25804820EDAC}">
                    <c15:categoryFilterExceptions>
                      <c15:categoryFilterException>
                        <c15:sqref>'Quant analysis'!$DI$48</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D59D-BD46-B0B8-B6412DC47A43}"/>
                            </c:ext>
                          </c:extLst>
                        </c15:dLbl>
                      </c15:categoryFilterException>
                      <c15:categoryFilterException>
                        <c15:sqref>'Quant analysis'!$DI$57</c15:sqref>
                        <c15:dLbl>
                          <c:idx val="7"/>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7-D59D-BD46-B0B8-B6412DC47A43}"/>
                            </c:ext>
                          </c:extLst>
                        </c15:dLbl>
                      </c15:categoryFilterException>
                      <c15:categoryFilterException>
                        <c15:sqref>'Quant analysis'!$DI$59</c15:sqref>
                        <c15:dLbl>
                          <c:idx val="7"/>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D59D-BD46-B0B8-B6412DC47A43}"/>
                            </c:ext>
                          </c:extLst>
                        </c15:dLbl>
                      </c15:categoryFilterException>
                    </c15:categoryFilterExceptions>
                  </c:ext>
                  <c:ext xmlns:c16="http://schemas.microsoft.com/office/drawing/2014/chart" uri="{C3380CC4-5D6E-409C-BE32-E72D297353CC}">
                    <c16:uniqueId val="{0000000B-E15D-47D6-A5A6-A1B6F73F4F3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'Quant analysis'!$DJ$42</c15:sqref>
                        </c15:formulaRef>
                      </c:ext>
                    </c:extLst>
                    <c:strCache>
                      <c:ptCount val="1"/>
                      <c:pt idx="0">
                        <c:v>Practices</c:v>
                      </c:pt>
                    </c:strCache>
                  </c:strRef>
                </c:tx>
                <c:spPr>
                  <a:solidFill>
                    <a:schemeClr val="accent2"/>
                  </a:solidFill>
                  <a:ln w="38100">
                    <a:solidFill>
                      <a:srgbClr val="79A02C"/>
                    </a:solidFill>
                  </a:ln>
                  <a:effectLst/>
                </c:spPr>
                <c:invertIfNegative val="0"/>
                <c:dPt>
                  <c:idx val="0"/>
                  <c:invertIfNegative val="0"/>
                  <c:bubble3D val="0"/>
                  <c:spPr>
                    <a:noFill/>
                    <a:ln w="38100">
                      <a:solidFill>
                        <a:srgbClr val="79A02C"/>
                      </a:solidFill>
                    </a:ln>
                    <a:effectLst/>
                  </c:spPr>
                  <c:extLst xmlns:c15="http://schemas.microsoft.com/office/drawing/2012/chart">
                    <c:ext xmlns:c16="http://schemas.microsoft.com/office/drawing/2014/chart" uri="{C3380CC4-5D6E-409C-BE32-E72D297353CC}">
                      <c16:uniqueId val="{00000001-E15D-47D6-A5A6-A1B6F73F4F38}"/>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analysis'!$DH$49:$DH$50,'Quant analysis'!$DH$54)</c15:sqref>
                        </c15:formulaRef>
                      </c:ext>
                    </c:extLst>
                    <c:strCache>
                      <c:ptCount val="8"/>
                      <c:pt idx="0">
                        <c:v>Total outcomes</c:v>
                      </c:pt>
                      <c:pt idx="1">
                        <c:v>Govt meetings</c:v>
                      </c:pt>
                      <c:pt idx="2">
                        <c:v>Stakeholders supported</c:v>
                      </c:pt>
                      <c:pt idx="3">
                        <c:v>Learning products</c:v>
                      </c:pt>
                      <c:pt idx="4">
                        <c:v>Demo learning</c:v>
                      </c:pt>
                      <c:pt idx="5">
                        <c:v>SSW trained </c:v>
                      </c:pt>
                      <c:pt idx="6">
                        <c:v>Community awareness raising</c:v>
                      </c:pt>
                      <c:pt idx="7">
                        <c:v>External events</c:v>
                      </c:pt>
                    </c:strCache>
                  </c:strRef>
                </c:cat>
                <c:val>
                  <c:numRef>
                    <c:extLst>
                      <c:ext xmlns:c15="http://schemas.microsoft.com/office/drawing/2012/chart" uri="{02D57815-91ED-43cb-92C2-25804820EDAC}">
                        <c15:fullRef>
                          <c15:sqref>'Quant analysis'!$DJ$43:$DJ$59</c15:sqref>
                        </c15:fullRef>
                        <c15:formulaRef>
                          <c15:sqref>('Quant analysis'!$DJ$43:$DJ$47,'Quant analysis'!$DJ$49:$DJ$50,'Quant analysis'!$DJ$54)</c15:sqref>
                        </c15:formulaRef>
                      </c:ext>
                    </c:extLst>
                    <c:numCache>
                      <c:formatCode>General</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2-E15D-47D6-A5A6-A1B6F73F4F3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'Quant analysis'!$DL$42</c15:sqref>
                        </c15:formulaRef>
                      </c:ext>
                    </c:extLst>
                    <c:strCache>
                      <c:ptCount val="1"/>
                      <c:pt idx="0">
                        <c:v>Relationships&amp; Connections</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analysis'!$DH$49:$DH$50,'Quant analysis'!$DH$54)</c15:sqref>
                        </c15:formulaRef>
                      </c:ext>
                    </c:extLst>
                    <c:strCache>
                      <c:ptCount val="8"/>
                      <c:pt idx="0">
                        <c:v>Total outcomes</c:v>
                      </c:pt>
                      <c:pt idx="1">
                        <c:v>Govt meetings</c:v>
                      </c:pt>
                      <c:pt idx="2">
                        <c:v>Stakeholders supported</c:v>
                      </c:pt>
                      <c:pt idx="3">
                        <c:v>Learning products</c:v>
                      </c:pt>
                      <c:pt idx="4">
                        <c:v>Demo learning</c:v>
                      </c:pt>
                      <c:pt idx="5">
                        <c:v>SSW trained </c:v>
                      </c:pt>
                      <c:pt idx="6">
                        <c:v>Community awareness raising</c:v>
                      </c:pt>
                      <c:pt idx="7">
                        <c:v>External events</c:v>
                      </c:pt>
                    </c:strCache>
                  </c:strRef>
                </c:cat>
                <c:val>
                  <c:numRef>
                    <c:extLst>
                      <c:ext xmlns:c15="http://schemas.microsoft.com/office/drawing/2012/chart" uri="{02D57815-91ED-43cb-92C2-25804820EDAC}">
                        <c15:fullRef>
                          <c15:sqref>'Quant analysis'!$DL$43:$DL$59</c15:sqref>
                        </c15:fullRef>
                        <c15:formulaRef>
                          <c15:sqref>('Quant analysis'!$DL$43:$DL$47,'Quant analysis'!$DL$49:$DL$50,'Quant analysis'!$DL$54)</c15:sqref>
                        </c15:formulaRef>
                      </c:ext>
                    </c:extLst>
                    <c:numCache>
                      <c:formatCode>General</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D-E15D-47D6-A5A6-A1B6F73F4F3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'Quant analysis'!$DM$42</c15:sqref>
                        </c15:formulaRef>
                      </c:ext>
                    </c:extLst>
                    <c:strCache>
                      <c:ptCount val="1"/>
                      <c:pt idx="0">
                        <c:v>Power Dynamics</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analysis'!$DH$49:$DH$50,'Quant analysis'!$DH$54)</c15:sqref>
                        </c15:formulaRef>
                      </c:ext>
                    </c:extLst>
                    <c:strCache>
                      <c:ptCount val="8"/>
                      <c:pt idx="0">
                        <c:v>Total outcomes</c:v>
                      </c:pt>
                      <c:pt idx="1">
                        <c:v>Govt meetings</c:v>
                      </c:pt>
                      <c:pt idx="2">
                        <c:v>Stakeholders supported</c:v>
                      </c:pt>
                      <c:pt idx="3">
                        <c:v>Learning products</c:v>
                      </c:pt>
                      <c:pt idx="4">
                        <c:v>Demo learning</c:v>
                      </c:pt>
                      <c:pt idx="5">
                        <c:v>SSW trained </c:v>
                      </c:pt>
                      <c:pt idx="6">
                        <c:v>Community awareness raising</c:v>
                      </c:pt>
                      <c:pt idx="7">
                        <c:v>External events</c:v>
                      </c:pt>
                    </c:strCache>
                  </c:strRef>
                </c:cat>
                <c:val>
                  <c:numRef>
                    <c:extLst>
                      <c:ext xmlns:c15="http://schemas.microsoft.com/office/drawing/2012/chart" uri="{02D57815-91ED-43cb-92C2-25804820EDAC}">
                        <c15:fullRef>
                          <c15:sqref>'Quant analysis'!$DM$43:$DM$59</c15:sqref>
                        </c15:fullRef>
                        <c15:formulaRef>
                          <c15:sqref>('Quant analysis'!$DM$43:$DM$47,'Quant analysis'!$DM$49:$DM$50,'Quant analysis'!$DM$54)</c15:sqref>
                        </c15:formulaRef>
                      </c:ext>
                    </c:extLst>
                    <c:numCache>
                      <c:formatCode>General</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E-E15D-47D6-A5A6-A1B6F73F4F3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'Quant analysis'!$DN$42</c15:sqref>
                        </c15:formulaRef>
                      </c:ext>
                    </c:extLst>
                    <c:strCache>
                      <c:ptCount val="1"/>
                      <c:pt idx="0">
                        <c:v>Mental Models</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analysis'!$DH$49:$DH$50,'Quant analysis'!$DH$54)</c15:sqref>
                        </c15:formulaRef>
                      </c:ext>
                    </c:extLst>
                    <c:strCache>
                      <c:ptCount val="8"/>
                      <c:pt idx="0">
                        <c:v>Total outcomes</c:v>
                      </c:pt>
                      <c:pt idx="1">
                        <c:v>Govt meetings</c:v>
                      </c:pt>
                      <c:pt idx="2">
                        <c:v>Stakeholders supported</c:v>
                      </c:pt>
                      <c:pt idx="3">
                        <c:v>Learning products</c:v>
                      </c:pt>
                      <c:pt idx="4">
                        <c:v>Demo learning</c:v>
                      </c:pt>
                      <c:pt idx="5">
                        <c:v>SSW trained </c:v>
                      </c:pt>
                      <c:pt idx="6">
                        <c:v>Community awareness raising</c:v>
                      </c:pt>
                      <c:pt idx="7">
                        <c:v>External events</c:v>
                      </c:pt>
                    </c:strCache>
                  </c:strRef>
                </c:cat>
                <c:val>
                  <c:numRef>
                    <c:extLst>
                      <c:ext xmlns:c15="http://schemas.microsoft.com/office/drawing/2012/chart" uri="{02D57815-91ED-43cb-92C2-25804820EDAC}">
                        <c15:fullRef>
                          <c15:sqref>'Quant analysis'!$DN$43:$DN$59</c15:sqref>
                        </c15:fullRef>
                        <c15:formulaRef>
                          <c15:sqref>('Quant analysis'!$DN$43:$DN$47,'Quant analysis'!$DN$49:$DN$50,'Quant analysis'!$DN$54)</c15:sqref>
                        </c15:formulaRef>
                      </c:ext>
                    </c:extLst>
                    <c:numCache>
                      <c:formatCode>General</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F-E15D-47D6-A5A6-A1B6F73F4F38}"/>
                  </c:ext>
                </c:extLst>
              </c15:ser>
            </c15:filteredBarSeries>
          </c:ext>
        </c:extLst>
      </c:barChart>
      <c:catAx>
        <c:axId val="1400519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46284799"/>
        <c:crosses val="autoZero"/>
        <c:auto val="1"/>
        <c:lblAlgn val="ctr"/>
        <c:lblOffset val="100"/>
        <c:noMultiLvlLbl val="0"/>
      </c:catAx>
      <c:valAx>
        <c:axId val="1446284799"/>
        <c:scaling>
          <c:orientation val="minMax"/>
          <c:max val="100"/>
          <c:min val="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0051927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GT"/>
              <a:t>What contributes to changes in Relationships</a:t>
            </a:r>
            <a:r>
              <a:rPr lang="es-GT" baseline="0"/>
              <a:t> </a:t>
            </a:r>
            <a:r>
              <a:rPr lang="es-GT"/>
              <a:t>&amp; Connections at subnational and national levels?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3"/>
          <c:order val="3"/>
          <c:tx>
            <c:strRef>
              <c:f>'Quant analysis'!$DL$42</c:f>
              <c:strCache>
                <c:ptCount val="1"/>
                <c:pt idx="0">
                  <c:v>Relationships&amp; Connections</c:v>
                </c:pt>
              </c:strCache>
              <c:extLst xmlns:c15="http://schemas.microsoft.com/office/drawing/2012/chart"/>
            </c:strRef>
          </c:tx>
          <c:spPr>
            <a:solidFill>
              <a:srgbClr val="79A02C"/>
            </a:solidFill>
            <a:ln w="19050">
              <a:solidFill>
                <a:schemeClr val="lt1"/>
              </a:solidFill>
            </a:ln>
            <a:effectLst/>
          </c:spPr>
          <c:invertIfNegative val="0"/>
          <c:dPt>
            <c:idx val="0"/>
            <c:invertIfNegative val="0"/>
            <c:bubble3D val="0"/>
            <c:spPr>
              <a:noFill/>
              <a:ln w="38100">
                <a:solidFill>
                  <a:srgbClr val="79A02C"/>
                </a:solidFill>
              </a:ln>
              <a:effectLst/>
            </c:spPr>
            <c:extLst>
              <c:ext xmlns:c16="http://schemas.microsoft.com/office/drawing/2014/chart" uri="{C3380CC4-5D6E-409C-BE32-E72D297353CC}">
                <c16:uniqueId val="{00000012-807A-4719-872E-49B3C5FB167A}"/>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ext>
              </c:extLst>
              <c:f>('Quant analysis'!$DH$43:$DH$47,'Quant analysis'!$DH$49,'Quant analysis'!$DH$52)</c:f>
              <c:strCache>
                <c:ptCount val="7"/>
                <c:pt idx="0">
                  <c:v>Total outcomes</c:v>
                </c:pt>
                <c:pt idx="1">
                  <c:v>Govt meetings</c:v>
                </c:pt>
                <c:pt idx="2">
                  <c:v>Stakeholders supported</c:v>
                </c:pt>
                <c:pt idx="3">
                  <c:v>Learning products</c:v>
                </c:pt>
                <c:pt idx="4">
                  <c:v>Demo learning</c:v>
                </c:pt>
                <c:pt idx="5">
                  <c:v>SSW trained </c:v>
                </c:pt>
                <c:pt idx="6">
                  <c:v>PWLE activities</c:v>
                </c:pt>
              </c:strCache>
            </c:strRef>
          </c:cat>
          <c:val>
            <c:numRef>
              <c:extLst>
                <c:ext xmlns:c15="http://schemas.microsoft.com/office/drawing/2012/chart" uri="{02D57815-91ED-43cb-92C2-25804820EDAC}">
                  <c15:fullRef>
                    <c15:sqref>'Quant analysis'!$DL$43:$DL$59</c15:sqref>
                  </c15:fullRef>
                </c:ext>
              </c:extLst>
              <c:f>('Quant analysis'!$DL$43:$DL$47,'Quant analysis'!$DL$49,'Quant analysis'!$DL$52)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807A-4719-872E-49B3C5FB167A}"/>
            </c:ext>
          </c:extLst>
        </c:ser>
        <c:dLbls>
          <c:dLblPos val="outEnd"/>
          <c:showLegendKey val="0"/>
          <c:showVal val="1"/>
          <c:showCatName val="0"/>
          <c:showSerName val="0"/>
          <c:showPercent val="0"/>
          <c:showBubbleSize val="0"/>
        </c:dLbls>
        <c:gapWidth val="20"/>
        <c:axId val="1400519279"/>
        <c:axId val="1446284799"/>
        <c:extLst>
          <c:ext xmlns:c15="http://schemas.microsoft.com/office/drawing/2012/chart" uri="{02D57815-91ED-43cb-92C2-25804820EDAC}">
            <c15:filteredBarSeries>
              <c15:ser>
                <c:idx val="0"/>
                <c:order val="0"/>
                <c:tx>
                  <c:strRef>
                    <c:extLst>
                      <c:ext uri="{02D57815-91ED-43cb-92C2-25804820EDAC}">
                        <c15:formulaRef>
                          <c15:sqref>'Quant analysis'!$DI$42</c15:sqref>
                        </c15:formulaRef>
                      </c:ext>
                    </c:extLst>
                    <c:strCache>
                      <c:ptCount val="1"/>
                      <c:pt idx="0">
                        <c:v>Policies</c:v>
                      </c:pt>
                    </c:strCache>
                  </c:strRef>
                </c:tx>
                <c:spPr>
                  <a:solidFill>
                    <a:srgbClr val="A25EB5"/>
                  </a:solidFill>
                  <a:ln w="38100">
                    <a:solidFill>
                      <a:srgbClr val="A25EB5"/>
                    </a:solidFill>
                  </a:ln>
                  <a:effectLst/>
                </c:spPr>
                <c:invertIfNegative val="0"/>
                <c:dPt>
                  <c:idx val="0"/>
                  <c:invertIfNegative val="0"/>
                  <c:bubble3D val="0"/>
                  <c:spPr>
                    <a:noFill/>
                    <a:ln w="38100">
                      <a:solidFill>
                        <a:srgbClr val="A25EB5"/>
                      </a:solidFill>
                    </a:ln>
                    <a:effectLst/>
                  </c:spPr>
                  <c:extLst>
                    <c:ext xmlns:c16="http://schemas.microsoft.com/office/drawing/2014/chart" uri="{C3380CC4-5D6E-409C-BE32-E72D297353CC}">
                      <c16:uniqueId val="{00000002-807A-4719-872E-49B3C5FB167A}"/>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807A-4719-872E-49B3C5FB167A}"/>
                      </c:ext>
                    </c:extLst>
                  </c:dLbl>
                  <c:dLbl>
                    <c:idx val="1"/>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3-807A-4719-872E-49B3C5FB167A}"/>
                      </c:ext>
                    </c:extLst>
                  </c:dLbl>
                  <c:dLbl>
                    <c:idx val="2"/>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807A-4719-872E-49B3C5FB167A}"/>
                      </c:ext>
                    </c:extLst>
                  </c:dLbl>
                  <c:dLbl>
                    <c:idx val="3"/>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807A-4719-872E-49B3C5FB167A}"/>
                      </c:ext>
                    </c:extLst>
                  </c:dLbl>
                  <c: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807A-4719-872E-49B3C5FB167A}"/>
                      </c:ext>
                    </c:extLst>
                  </c:dLbl>
                  <c:dLbl>
                    <c:idx val="5"/>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807A-4719-872E-49B3C5FB167A}"/>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'Quant analysis'!$DH$43:$DH$59</c15:sqref>
                        </c15:fullRef>
                        <c15:formulaRef>
                          <c15:sqref>('Quant analysis'!$DH$43:$DH$47,'Quant analysis'!$DH$49,'Quant analysis'!$DH$52)</c15:sqref>
                        </c15:formulaRef>
                      </c:ext>
                    </c:extLst>
                    <c:strCache>
                      <c:ptCount val="7"/>
                      <c:pt idx="0">
                        <c:v>Total outcomes</c:v>
                      </c:pt>
                      <c:pt idx="1">
                        <c:v>Govt meetings</c:v>
                      </c:pt>
                      <c:pt idx="2">
                        <c:v>Stakeholders supported</c:v>
                      </c:pt>
                      <c:pt idx="3">
                        <c:v>Learning products</c:v>
                      </c:pt>
                      <c:pt idx="4">
                        <c:v>Demo learning</c:v>
                      </c:pt>
                      <c:pt idx="5">
                        <c:v>SSW trained </c:v>
                      </c:pt>
                      <c:pt idx="6">
                        <c:v>PWLE activities</c:v>
                      </c:pt>
                    </c:strCache>
                  </c:strRef>
                </c:cat>
                <c:val>
                  <c:numRef>
                    <c:extLst>
                      <c:ext uri="{02D57815-91ED-43cb-92C2-25804820EDAC}">
                        <c15:fullRef>
                          <c15:sqref>'Quant analysis'!$DI$43:$DI$59</c15:sqref>
                        </c15:fullRef>
                        <c15:formulaRef>
                          <c15:sqref>('Quant analysis'!$DI$43:$DI$47,'Quant analysis'!$DI$49,'Quant analysis'!$DI$52)</c15:sqref>
                        </c15:formulaRef>
                      </c:ext>
                    </c:extLst>
                    <c:numCache>
                      <c:formatCode>General</c:formatCode>
                      <c:ptCount val="7"/>
                      <c:pt idx="0">
                        <c:v>0</c:v>
                      </c:pt>
                      <c:pt idx="1">
                        <c:v>0</c:v>
                      </c:pt>
                      <c:pt idx="2">
                        <c:v>0</c:v>
                      </c:pt>
                      <c:pt idx="3">
                        <c:v>0</c:v>
                      </c:pt>
                      <c:pt idx="4">
                        <c:v>0</c:v>
                      </c:pt>
                      <c:pt idx="5">
                        <c:v>0</c:v>
                      </c:pt>
                      <c:pt idx="6">
                        <c:v>0</c:v>
                      </c:pt>
                    </c:numCache>
                  </c:numRef>
                </c:val>
                <c:extLst>
                  <c:ext uri="{02D57815-91ED-43cb-92C2-25804820EDAC}">
                    <c15:categoryFilterExceptions>
                      <c15:categoryFilterException>
                        <c15:sqref>'Quant analysis'!$DI$48</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3632-B74D-8990-05EFB7A80008}"/>
                            </c:ext>
                          </c:extLst>
                        </c15:dLbl>
                      </c15:categoryFilterException>
                      <c15:categoryFilterException>
                        <c15:sqref>'Quant analysis'!$DI$57</c15:sqref>
                        <c15:dLbl>
                          <c:idx val="6"/>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7-3632-B74D-8990-05EFB7A80008}"/>
                            </c:ext>
                          </c:extLst>
                        </c15:dLbl>
                      </c15:categoryFilterException>
                      <c15:categoryFilterException>
                        <c15:sqref>'Quant analysis'!$DI$59</c15:sqref>
                        <c15:dLbl>
                          <c:idx val="6"/>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3632-B74D-8990-05EFB7A80008}"/>
                            </c:ext>
                          </c:extLst>
                        </c15:dLbl>
                      </c15:categoryFilterException>
                    </c15:categoryFilterExceptions>
                  </c:ext>
                  <c:ext xmlns:c16="http://schemas.microsoft.com/office/drawing/2014/chart" uri="{C3380CC4-5D6E-409C-BE32-E72D297353CC}">
                    <c16:uniqueId val="{00000009-807A-4719-872E-49B3C5FB167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'Quant analysis'!$DJ$42</c15:sqref>
                        </c15:formulaRef>
                      </c:ext>
                    </c:extLst>
                    <c:strCache>
                      <c:ptCount val="1"/>
                      <c:pt idx="0">
                        <c:v>Practices</c:v>
                      </c:pt>
                    </c:strCache>
                  </c:strRef>
                </c:tx>
                <c:spPr>
                  <a:solidFill>
                    <a:schemeClr val="accent2"/>
                  </a:solidFill>
                  <a:ln w="38100">
                    <a:solidFill>
                      <a:srgbClr val="79A02C"/>
                    </a:solidFill>
                  </a:ln>
                  <a:effectLst/>
                </c:spPr>
                <c:invertIfNegative val="0"/>
                <c:dPt>
                  <c:idx val="0"/>
                  <c:invertIfNegative val="0"/>
                  <c:bubble3D val="0"/>
                  <c:spPr>
                    <a:noFill/>
                    <a:ln w="38100">
                      <a:solidFill>
                        <a:srgbClr val="79A02C"/>
                      </a:solidFill>
                    </a:ln>
                    <a:effectLst/>
                  </c:spPr>
                  <c:extLst xmlns:c15="http://schemas.microsoft.com/office/drawing/2012/chart">
                    <c:ext xmlns:c16="http://schemas.microsoft.com/office/drawing/2014/chart" uri="{C3380CC4-5D6E-409C-BE32-E72D297353CC}">
                      <c16:uniqueId val="{0000000B-807A-4719-872E-49B3C5FB167A}"/>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analysis'!$DH$52)</c15:sqref>
                        </c15:formulaRef>
                      </c:ext>
                    </c:extLst>
                    <c:strCache>
                      <c:ptCount val="7"/>
                      <c:pt idx="0">
                        <c:v>Total outcomes</c:v>
                      </c:pt>
                      <c:pt idx="1">
                        <c:v>Govt meetings</c:v>
                      </c:pt>
                      <c:pt idx="2">
                        <c:v>Stakeholders supported</c:v>
                      </c:pt>
                      <c:pt idx="3">
                        <c:v>Learning products</c:v>
                      </c:pt>
                      <c:pt idx="4">
                        <c:v>Demo learning</c:v>
                      </c:pt>
                      <c:pt idx="5">
                        <c:v>SSW trained </c:v>
                      </c:pt>
                      <c:pt idx="6">
                        <c:v>PWLE activities</c:v>
                      </c:pt>
                    </c:strCache>
                  </c:strRef>
                </c:cat>
                <c:val>
                  <c:numRef>
                    <c:extLst>
                      <c:ext xmlns:c15="http://schemas.microsoft.com/office/drawing/2012/chart" uri="{02D57815-91ED-43cb-92C2-25804820EDAC}">
                        <c15:fullRef>
                          <c15:sqref>'Quant analysis'!$DJ$43:$DJ$59</c15:sqref>
                        </c15:fullRef>
                        <c15:formulaRef>
                          <c15:sqref>('Quant analysis'!$DJ$43:$DJ$47,'Quant analysis'!$DJ$49,'Quant analysis'!$DJ$52)</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C-807A-4719-872E-49B3C5FB167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'Quant analysis'!$DK$42</c15:sqref>
                        </c15:formulaRef>
                      </c:ext>
                    </c:extLst>
                    <c:strCache>
                      <c:ptCount val="1"/>
                      <c:pt idx="0">
                        <c:v>Resource Flows</c:v>
                      </c:pt>
                    </c:strCache>
                  </c:strRef>
                </c:tx>
                <c:spPr>
                  <a:solidFill>
                    <a:srgbClr val="7095AC"/>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analysis'!$DH$52)</c15:sqref>
                        </c15:formulaRef>
                      </c:ext>
                    </c:extLst>
                    <c:strCache>
                      <c:ptCount val="7"/>
                      <c:pt idx="0">
                        <c:v>Total outcomes</c:v>
                      </c:pt>
                      <c:pt idx="1">
                        <c:v>Govt meetings</c:v>
                      </c:pt>
                      <c:pt idx="2">
                        <c:v>Stakeholders supported</c:v>
                      </c:pt>
                      <c:pt idx="3">
                        <c:v>Learning products</c:v>
                      </c:pt>
                      <c:pt idx="4">
                        <c:v>Demo learning</c:v>
                      </c:pt>
                      <c:pt idx="5">
                        <c:v>SSW trained </c:v>
                      </c:pt>
                      <c:pt idx="6">
                        <c:v>PWLE activities</c:v>
                      </c:pt>
                    </c:strCache>
                  </c:strRef>
                </c:cat>
                <c:val>
                  <c:numRef>
                    <c:extLst>
                      <c:ext xmlns:c15="http://schemas.microsoft.com/office/drawing/2012/chart" uri="{02D57815-91ED-43cb-92C2-25804820EDAC}">
                        <c15:fullRef>
                          <c15:sqref>'Quant analysis'!$DK$43:$DK$59</c15:sqref>
                        </c15:fullRef>
                        <c15:formulaRef>
                          <c15:sqref>('Quant analysis'!$DK$43:$DK$47,'Quant analysis'!$DK$49,'Quant analysis'!$DK$52)</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0-807A-4719-872E-49B3C5FB167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'Quant analysis'!$DM$42</c15:sqref>
                        </c15:formulaRef>
                      </c:ext>
                    </c:extLst>
                    <c:strCache>
                      <c:ptCount val="1"/>
                      <c:pt idx="0">
                        <c:v>Power Dynamics</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analysis'!$DH$52)</c15:sqref>
                        </c15:formulaRef>
                      </c:ext>
                    </c:extLst>
                    <c:strCache>
                      <c:ptCount val="7"/>
                      <c:pt idx="0">
                        <c:v>Total outcomes</c:v>
                      </c:pt>
                      <c:pt idx="1">
                        <c:v>Govt meetings</c:v>
                      </c:pt>
                      <c:pt idx="2">
                        <c:v>Stakeholders supported</c:v>
                      </c:pt>
                      <c:pt idx="3">
                        <c:v>Learning products</c:v>
                      </c:pt>
                      <c:pt idx="4">
                        <c:v>Demo learning</c:v>
                      </c:pt>
                      <c:pt idx="5">
                        <c:v>SSW trained </c:v>
                      </c:pt>
                      <c:pt idx="6">
                        <c:v>PWLE activities</c:v>
                      </c:pt>
                    </c:strCache>
                  </c:strRef>
                </c:cat>
                <c:val>
                  <c:numRef>
                    <c:extLst>
                      <c:ext xmlns:c15="http://schemas.microsoft.com/office/drawing/2012/chart" uri="{02D57815-91ED-43cb-92C2-25804820EDAC}">
                        <c15:fullRef>
                          <c15:sqref>'Quant analysis'!$DM$43:$DM$59</c15:sqref>
                        </c15:fullRef>
                        <c15:formulaRef>
                          <c15:sqref>('Quant analysis'!$DM$43:$DM$47,'Quant analysis'!$DM$49,'Quant analysis'!$DM$52)</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E-807A-4719-872E-49B3C5FB167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'Quant analysis'!$DN$42</c15:sqref>
                        </c15:formulaRef>
                      </c:ext>
                    </c:extLst>
                    <c:strCache>
                      <c:ptCount val="1"/>
                      <c:pt idx="0">
                        <c:v>Mental Models</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analysis'!$DH$52)</c15:sqref>
                        </c15:formulaRef>
                      </c:ext>
                    </c:extLst>
                    <c:strCache>
                      <c:ptCount val="7"/>
                      <c:pt idx="0">
                        <c:v>Total outcomes</c:v>
                      </c:pt>
                      <c:pt idx="1">
                        <c:v>Govt meetings</c:v>
                      </c:pt>
                      <c:pt idx="2">
                        <c:v>Stakeholders supported</c:v>
                      </c:pt>
                      <c:pt idx="3">
                        <c:v>Learning products</c:v>
                      </c:pt>
                      <c:pt idx="4">
                        <c:v>Demo learning</c:v>
                      </c:pt>
                      <c:pt idx="5">
                        <c:v>SSW trained </c:v>
                      </c:pt>
                      <c:pt idx="6">
                        <c:v>PWLE activities</c:v>
                      </c:pt>
                    </c:strCache>
                  </c:strRef>
                </c:cat>
                <c:val>
                  <c:numRef>
                    <c:extLst>
                      <c:ext xmlns:c15="http://schemas.microsoft.com/office/drawing/2012/chart" uri="{02D57815-91ED-43cb-92C2-25804820EDAC}">
                        <c15:fullRef>
                          <c15:sqref>'Quant analysis'!$DN$43:$DN$59</c15:sqref>
                        </c15:fullRef>
                        <c15:formulaRef>
                          <c15:sqref>('Quant analysis'!$DN$43:$DN$47,'Quant analysis'!$DN$49,'Quant analysis'!$DN$52)</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F-807A-4719-872E-49B3C5FB167A}"/>
                  </c:ext>
                </c:extLst>
              </c15:ser>
            </c15:filteredBarSeries>
          </c:ext>
        </c:extLst>
      </c:barChart>
      <c:catAx>
        <c:axId val="1400519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46284799"/>
        <c:crosses val="autoZero"/>
        <c:auto val="1"/>
        <c:lblAlgn val="ctr"/>
        <c:lblOffset val="100"/>
        <c:noMultiLvlLbl val="0"/>
      </c:catAx>
      <c:valAx>
        <c:axId val="1446284799"/>
        <c:scaling>
          <c:orientation val="minMax"/>
          <c:max val="80"/>
          <c:min val="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0051927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GT"/>
              <a:t>What contributes to changes in Power Dynamics at subnational and national levels?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4"/>
          <c:order val="4"/>
          <c:tx>
            <c:strRef>
              <c:f>'Quant analysis'!$DM$42</c:f>
              <c:strCache>
                <c:ptCount val="1"/>
                <c:pt idx="0">
                  <c:v>Power Dynamics</c:v>
                </c:pt>
              </c:strCache>
              <c:extLst xmlns:c15="http://schemas.microsoft.com/office/drawing/2012/chart"/>
            </c:strRef>
          </c:tx>
          <c:spPr>
            <a:solidFill>
              <a:srgbClr val="79A02C">
                <a:alpha val="49804"/>
              </a:srgbClr>
            </a:solidFill>
            <a:ln w="19050">
              <a:solidFill>
                <a:srgbClr val="79A02C">
                  <a:alpha val="50196"/>
                </a:srgbClr>
              </a:solidFill>
            </a:ln>
            <a:effectLst/>
          </c:spPr>
          <c:invertIfNegative val="0"/>
          <c:dPt>
            <c:idx val="0"/>
            <c:invertIfNegative val="0"/>
            <c:bubble3D val="0"/>
            <c:spPr>
              <a:noFill/>
              <a:ln w="38100">
                <a:solidFill>
                  <a:srgbClr val="79A02C">
                    <a:alpha val="50196"/>
                  </a:srgbClr>
                </a:solidFill>
              </a:ln>
              <a:effectLst/>
            </c:spPr>
            <c:extLst>
              <c:ext xmlns:c16="http://schemas.microsoft.com/office/drawing/2014/chart" uri="{C3380CC4-5D6E-409C-BE32-E72D297353CC}">
                <c16:uniqueId val="{00000014-A1B9-43C7-948E-0C48C49F4662}"/>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ext>
              </c:extLst>
              <c:f>'Quant analysis'!$DH$43:$DH$47</c:f>
              <c:strCache>
                <c:ptCount val="5"/>
                <c:pt idx="0">
                  <c:v>Total outcomes</c:v>
                </c:pt>
                <c:pt idx="1">
                  <c:v>Govt meetings</c:v>
                </c:pt>
                <c:pt idx="2">
                  <c:v>Stakeholders supported</c:v>
                </c:pt>
                <c:pt idx="3">
                  <c:v>Learning products</c:v>
                </c:pt>
                <c:pt idx="4">
                  <c:v>Demo learning</c:v>
                </c:pt>
              </c:strCache>
            </c:strRef>
          </c:cat>
          <c:val>
            <c:numRef>
              <c:extLst>
                <c:ext xmlns:c15="http://schemas.microsoft.com/office/drawing/2012/chart" uri="{02D57815-91ED-43cb-92C2-25804820EDAC}">
                  <c15:fullRef>
                    <c15:sqref>'Quant analysis'!$DM$43:$DM$59</c15:sqref>
                  </c15:fullRef>
                </c:ext>
              </c:extLst>
              <c:f>'Quant analysis'!$DM$43:$DM$47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F-A1B9-43C7-948E-0C48C49F4662}"/>
            </c:ext>
          </c:extLst>
        </c:ser>
        <c:dLbls>
          <c:dLblPos val="outEnd"/>
          <c:showLegendKey val="0"/>
          <c:showVal val="1"/>
          <c:showCatName val="0"/>
          <c:showSerName val="0"/>
          <c:showPercent val="0"/>
          <c:showBubbleSize val="0"/>
        </c:dLbls>
        <c:gapWidth val="20"/>
        <c:axId val="1400519279"/>
        <c:axId val="1446284799"/>
        <c:extLst>
          <c:ext xmlns:c15="http://schemas.microsoft.com/office/drawing/2012/chart" uri="{02D57815-91ED-43cb-92C2-25804820EDAC}">
            <c15:filteredBarSeries>
              <c15:ser>
                <c:idx val="0"/>
                <c:order val="0"/>
                <c:tx>
                  <c:strRef>
                    <c:extLst>
                      <c:ext uri="{02D57815-91ED-43cb-92C2-25804820EDAC}">
                        <c15:formulaRef>
                          <c15:sqref>'Quant analysis'!$DI$42</c15:sqref>
                        </c15:formulaRef>
                      </c:ext>
                    </c:extLst>
                    <c:strCache>
                      <c:ptCount val="1"/>
                      <c:pt idx="0">
                        <c:v>Policies</c:v>
                      </c:pt>
                    </c:strCache>
                  </c:strRef>
                </c:tx>
                <c:spPr>
                  <a:solidFill>
                    <a:srgbClr val="A25EB5"/>
                  </a:solidFill>
                  <a:ln w="38100">
                    <a:solidFill>
                      <a:srgbClr val="A25EB5"/>
                    </a:solidFill>
                  </a:ln>
                  <a:effectLst/>
                </c:spPr>
                <c:invertIfNegative val="0"/>
                <c:dPt>
                  <c:idx val="0"/>
                  <c:invertIfNegative val="0"/>
                  <c:bubble3D val="0"/>
                  <c:spPr>
                    <a:noFill/>
                    <a:ln w="38100">
                      <a:solidFill>
                        <a:srgbClr val="A25EB5"/>
                      </a:solidFill>
                    </a:ln>
                    <a:effectLst/>
                  </c:spPr>
                  <c:extLst>
                    <c:ext xmlns:c16="http://schemas.microsoft.com/office/drawing/2014/chart" uri="{C3380CC4-5D6E-409C-BE32-E72D297353CC}">
                      <c16:uniqueId val="{00000004-A1B9-43C7-948E-0C48C49F4662}"/>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A1B9-43C7-948E-0C48C49F4662}"/>
                      </c:ext>
                    </c:extLst>
                  </c:dLbl>
                  <c:dLbl>
                    <c:idx val="1"/>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A1B9-43C7-948E-0C48C49F4662}"/>
                      </c:ext>
                    </c:extLst>
                  </c:dLbl>
                  <c:dLbl>
                    <c:idx val="2"/>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A1B9-43C7-948E-0C48C49F4662}"/>
                      </c:ext>
                    </c:extLst>
                  </c:dLbl>
                  <c:dLbl>
                    <c:idx val="3"/>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7-A1B9-43C7-948E-0C48C49F4662}"/>
                      </c:ext>
                    </c:extLst>
                  </c:dLbl>
                  <c: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A1B9-43C7-948E-0C48C49F466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'Quant analysis'!$DH$43:$DH$59</c15:sqref>
                        </c15:fullRef>
                        <c15:formulaRef>
                          <c15:sqref>'Quant analysis'!$DH$43:$DH$47</c15:sqref>
                        </c15:formulaRef>
                      </c:ext>
                    </c:extLst>
                    <c:strCache>
                      <c:ptCount val="5"/>
                      <c:pt idx="0">
                        <c:v>Total outcomes</c:v>
                      </c:pt>
                      <c:pt idx="1">
                        <c:v>Govt meetings</c:v>
                      </c:pt>
                      <c:pt idx="2">
                        <c:v>Stakeholders supported</c:v>
                      </c:pt>
                      <c:pt idx="3">
                        <c:v>Learning products</c:v>
                      </c:pt>
                      <c:pt idx="4">
                        <c:v>Demo learning</c:v>
                      </c:pt>
                    </c:strCache>
                  </c:strRef>
                </c:cat>
                <c:val>
                  <c:numRef>
                    <c:extLst>
                      <c:ext uri="{02D57815-91ED-43cb-92C2-25804820EDAC}">
                        <c15:fullRef>
                          <c15:sqref>'Quant analysis'!$DI$43:$DI$59</c15:sqref>
                        </c15:fullRef>
                        <c15:formulaRef>
                          <c15:sqref>'Quant analysis'!$DI$43:$DI$47</c15:sqref>
                        </c15:formulaRef>
                      </c:ext>
                    </c:extLst>
                    <c:numCache>
                      <c:formatCode>General</c:formatCode>
                      <c:ptCount val="5"/>
                      <c:pt idx="0">
                        <c:v>0</c:v>
                      </c:pt>
                      <c:pt idx="1">
                        <c:v>0</c:v>
                      </c:pt>
                      <c:pt idx="2">
                        <c:v>0</c:v>
                      </c:pt>
                      <c:pt idx="3">
                        <c:v>0</c:v>
                      </c:pt>
                      <c:pt idx="4">
                        <c:v>0</c:v>
                      </c:pt>
                    </c:numCache>
                  </c:numRef>
                </c:val>
                <c:extLst>
                  <c:ext uri="{02D57815-91ED-43cb-92C2-25804820EDAC}">
                    <c15:categoryFilterExceptions>
                      <c15:categoryFilterException>
                        <c15:sqref>'Quant analysis'!$DI$48</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2168-8944-BD39-15DE12B3FF9C}"/>
                            </c:ext>
                          </c:extLst>
                        </c15:dLbl>
                      </c15:categoryFilterException>
                      <c15:categoryFilterException>
                        <c15:sqref>'Quant analysis'!$DI$49</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9-2168-8944-BD39-15DE12B3FF9C}"/>
                            </c:ext>
                          </c:extLst>
                        </c15:dLbl>
                      </c15:categoryFilterException>
                      <c15:categoryFilterException>
                        <c15:sqref>'Quant analysis'!$DI$57</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A-2168-8944-BD39-15DE12B3FF9C}"/>
                            </c:ext>
                          </c:extLst>
                        </c15:dLbl>
                      </c15:categoryFilterException>
                      <c15:categoryFilterException>
                        <c15:sqref>'Quant analysis'!$DI$59</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B-2168-8944-BD39-15DE12B3FF9C}"/>
                            </c:ext>
                          </c:extLst>
                        </c15:dLbl>
                      </c15:categoryFilterException>
                    </c15:categoryFilterExceptions>
                  </c:ext>
                  <c:ext xmlns:c16="http://schemas.microsoft.com/office/drawing/2014/chart" uri="{C3380CC4-5D6E-409C-BE32-E72D297353CC}">
                    <c16:uniqueId val="{0000000A-A1B9-43C7-948E-0C48C49F466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'Quant analysis'!$DJ$42</c15:sqref>
                        </c15:formulaRef>
                      </c:ext>
                    </c:extLst>
                    <c:strCache>
                      <c:ptCount val="1"/>
                      <c:pt idx="0">
                        <c:v>Practices</c:v>
                      </c:pt>
                    </c:strCache>
                  </c:strRef>
                </c:tx>
                <c:spPr>
                  <a:solidFill>
                    <a:schemeClr val="accent2"/>
                  </a:solidFill>
                  <a:ln w="38100">
                    <a:solidFill>
                      <a:srgbClr val="79A02C"/>
                    </a:solidFill>
                  </a:ln>
                  <a:effectLst/>
                </c:spPr>
                <c:invertIfNegative val="0"/>
                <c:dPt>
                  <c:idx val="0"/>
                  <c:invertIfNegative val="0"/>
                  <c:bubble3D val="0"/>
                  <c:spPr>
                    <a:noFill/>
                    <a:ln w="38100">
                      <a:solidFill>
                        <a:srgbClr val="79A02C"/>
                      </a:solidFill>
                    </a:ln>
                    <a:effectLst/>
                  </c:spPr>
                  <c:extLst xmlns:c15="http://schemas.microsoft.com/office/drawing/2012/chart">
                    <c:ext xmlns:c16="http://schemas.microsoft.com/office/drawing/2014/chart" uri="{C3380CC4-5D6E-409C-BE32-E72D297353CC}">
                      <c16:uniqueId val="{0000000C-A1B9-43C7-948E-0C48C49F4662}"/>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c15:sqref>
                        </c15:formulaRef>
                      </c:ext>
                    </c:extLst>
                    <c:strCache>
                      <c:ptCount val="5"/>
                      <c:pt idx="0">
                        <c:v>Total outcomes</c:v>
                      </c:pt>
                      <c:pt idx="1">
                        <c:v>Govt meetings</c:v>
                      </c:pt>
                      <c:pt idx="2">
                        <c:v>Stakeholders supported</c:v>
                      </c:pt>
                      <c:pt idx="3">
                        <c:v>Learning products</c:v>
                      </c:pt>
                      <c:pt idx="4">
                        <c:v>Demo learning</c:v>
                      </c:pt>
                    </c:strCache>
                  </c:strRef>
                </c:cat>
                <c:val>
                  <c:numRef>
                    <c:extLst>
                      <c:ext xmlns:c15="http://schemas.microsoft.com/office/drawing/2012/chart" uri="{02D57815-91ED-43cb-92C2-25804820EDAC}">
                        <c15:fullRef>
                          <c15:sqref>'Quant analysis'!$DJ$43:$DJ$59</c15:sqref>
                        </c15:fullRef>
                        <c15:formulaRef>
                          <c15:sqref>'Quant analysis'!$DJ$43:$DJ$47</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D-A1B9-43C7-948E-0C48C49F466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'Quant analysis'!$DK$42</c15:sqref>
                        </c15:formulaRef>
                      </c:ext>
                    </c:extLst>
                    <c:strCache>
                      <c:ptCount val="1"/>
                      <c:pt idx="0">
                        <c:v>Resource Flows</c:v>
                      </c:pt>
                    </c:strCache>
                  </c:strRef>
                </c:tx>
                <c:spPr>
                  <a:solidFill>
                    <a:srgbClr val="7095AC"/>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c15:sqref>
                        </c15:formulaRef>
                      </c:ext>
                    </c:extLst>
                    <c:strCache>
                      <c:ptCount val="5"/>
                      <c:pt idx="0">
                        <c:v>Total outcomes</c:v>
                      </c:pt>
                      <c:pt idx="1">
                        <c:v>Govt meetings</c:v>
                      </c:pt>
                      <c:pt idx="2">
                        <c:v>Stakeholders supported</c:v>
                      </c:pt>
                      <c:pt idx="3">
                        <c:v>Learning products</c:v>
                      </c:pt>
                      <c:pt idx="4">
                        <c:v>Demo learning</c:v>
                      </c:pt>
                    </c:strCache>
                  </c:strRef>
                </c:cat>
                <c:val>
                  <c:numRef>
                    <c:extLst>
                      <c:ext xmlns:c15="http://schemas.microsoft.com/office/drawing/2012/chart" uri="{02D57815-91ED-43cb-92C2-25804820EDAC}">
                        <c15:fullRef>
                          <c15:sqref>'Quant analysis'!$DK$43:$DK$59</c15:sqref>
                        </c15:fullRef>
                        <c15:formulaRef>
                          <c15:sqref>'Quant analysis'!$DK$43:$DK$47</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E-A1B9-43C7-948E-0C48C49F466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'Quant analysis'!$DL$42</c15:sqref>
                        </c15:formulaRef>
                      </c:ext>
                    </c:extLst>
                    <c:strCache>
                      <c:ptCount val="1"/>
                      <c:pt idx="0">
                        <c:v>Relationships&amp; Connections</c:v>
                      </c:pt>
                    </c:strCache>
                  </c:strRef>
                </c:tx>
                <c:spPr>
                  <a:solidFill>
                    <a:srgbClr val="00468B"/>
                  </a:solidFill>
                  <a:ln w="19050">
                    <a:solidFill>
                      <a:schemeClr val="lt1"/>
                    </a:solidFill>
                  </a:ln>
                  <a:effectLst/>
                </c:spPr>
                <c:invertIfNegative val="0"/>
                <c:dPt>
                  <c:idx val="0"/>
                  <c:invertIfNegative val="0"/>
                  <c:bubble3D val="0"/>
                  <c:spPr>
                    <a:noFill/>
                    <a:ln w="38100">
                      <a:solidFill>
                        <a:srgbClr val="00468B"/>
                      </a:solidFill>
                    </a:ln>
                    <a:effectLst/>
                  </c:spPr>
                  <c:extLst xmlns:c15="http://schemas.microsoft.com/office/drawing/2012/chart">
                    <c:ext xmlns:c16="http://schemas.microsoft.com/office/drawing/2014/chart" uri="{C3380CC4-5D6E-409C-BE32-E72D297353CC}">
                      <c16:uniqueId val="{00000001-A1B9-43C7-948E-0C48C49F4662}"/>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c15:sqref>
                        </c15:formulaRef>
                      </c:ext>
                    </c:extLst>
                    <c:strCache>
                      <c:ptCount val="5"/>
                      <c:pt idx="0">
                        <c:v>Total outcomes</c:v>
                      </c:pt>
                      <c:pt idx="1">
                        <c:v>Govt meetings</c:v>
                      </c:pt>
                      <c:pt idx="2">
                        <c:v>Stakeholders supported</c:v>
                      </c:pt>
                      <c:pt idx="3">
                        <c:v>Learning products</c:v>
                      </c:pt>
                      <c:pt idx="4">
                        <c:v>Demo learning</c:v>
                      </c:pt>
                    </c:strCache>
                  </c:strRef>
                </c:cat>
                <c:val>
                  <c:numRef>
                    <c:extLst>
                      <c:ext xmlns:c15="http://schemas.microsoft.com/office/drawing/2012/chart" uri="{02D57815-91ED-43cb-92C2-25804820EDAC}">
                        <c15:fullRef>
                          <c15:sqref>'Quant analysis'!$DL$43:$DL$59</c15:sqref>
                        </c15:fullRef>
                        <c15:formulaRef>
                          <c15:sqref>'Quant analysis'!$DL$43:$DL$47</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A1B9-43C7-948E-0C48C49F466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'Quant analysis'!$DN$42</c15:sqref>
                        </c15:formulaRef>
                      </c:ext>
                    </c:extLst>
                    <c:strCache>
                      <c:ptCount val="1"/>
                      <c:pt idx="0">
                        <c:v>Mental Models</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c15:sqref>
                        </c15:formulaRef>
                      </c:ext>
                    </c:extLst>
                    <c:strCache>
                      <c:ptCount val="5"/>
                      <c:pt idx="0">
                        <c:v>Total outcomes</c:v>
                      </c:pt>
                      <c:pt idx="1">
                        <c:v>Govt meetings</c:v>
                      </c:pt>
                      <c:pt idx="2">
                        <c:v>Stakeholders supported</c:v>
                      </c:pt>
                      <c:pt idx="3">
                        <c:v>Learning products</c:v>
                      </c:pt>
                      <c:pt idx="4">
                        <c:v>Demo learning</c:v>
                      </c:pt>
                    </c:strCache>
                  </c:strRef>
                </c:cat>
                <c:val>
                  <c:numRef>
                    <c:extLst>
                      <c:ext xmlns:c15="http://schemas.microsoft.com/office/drawing/2012/chart" uri="{02D57815-91ED-43cb-92C2-25804820EDAC}">
                        <c15:fullRef>
                          <c15:sqref>'Quant analysis'!$DN$43:$DN$59</c15:sqref>
                        </c15:fullRef>
                        <c15:formulaRef>
                          <c15:sqref>'Quant analysis'!$DN$43:$DN$47</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10-A1B9-43C7-948E-0C48C49F4662}"/>
                  </c:ext>
                </c:extLst>
              </c15:ser>
            </c15:filteredBarSeries>
          </c:ext>
        </c:extLst>
      </c:barChart>
      <c:catAx>
        <c:axId val="1400519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46284799"/>
        <c:crosses val="autoZero"/>
        <c:auto val="1"/>
        <c:lblAlgn val="ctr"/>
        <c:lblOffset val="100"/>
        <c:noMultiLvlLbl val="0"/>
      </c:catAx>
      <c:valAx>
        <c:axId val="1446284799"/>
        <c:scaling>
          <c:orientation val="minMax"/>
          <c:max val="80"/>
          <c:min val="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0051927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Primary SO/XC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79A02C"/>
              </a:solidFill>
              <a:ln w="19050">
                <a:solidFill>
                  <a:schemeClr val="lt1"/>
                </a:solidFill>
              </a:ln>
              <a:effectLst/>
            </c:spPr>
            <c:extLst>
              <c:ext xmlns:c16="http://schemas.microsoft.com/office/drawing/2014/chart" uri="{C3380CC4-5D6E-409C-BE32-E72D297353CC}">
                <c16:uniqueId val="{00000001-ECD5-44CE-A2BB-E3A464C098DB}"/>
              </c:ext>
            </c:extLst>
          </c:dPt>
          <c:dPt>
            <c:idx val="1"/>
            <c:bubble3D val="0"/>
            <c:spPr>
              <a:solidFill>
                <a:srgbClr val="7095AC"/>
              </a:solidFill>
              <a:ln w="19050">
                <a:solidFill>
                  <a:schemeClr val="lt1"/>
                </a:solidFill>
              </a:ln>
              <a:effectLst/>
            </c:spPr>
            <c:extLst>
              <c:ext xmlns:c16="http://schemas.microsoft.com/office/drawing/2014/chart" uri="{C3380CC4-5D6E-409C-BE32-E72D297353CC}">
                <c16:uniqueId val="{00000003-ECD5-44CE-A2BB-E3A464C098DB}"/>
              </c:ext>
            </c:extLst>
          </c:dPt>
          <c:dPt>
            <c:idx val="2"/>
            <c:bubble3D val="0"/>
            <c:spPr>
              <a:solidFill>
                <a:srgbClr val="A25EB5"/>
              </a:solidFill>
              <a:ln w="19050">
                <a:solidFill>
                  <a:schemeClr val="lt1"/>
                </a:solidFill>
              </a:ln>
              <a:effectLst/>
            </c:spPr>
            <c:extLst>
              <c:ext xmlns:c16="http://schemas.microsoft.com/office/drawing/2014/chart" uri="{C3380CC4-5D6E-409C-BE32-E72D297353CC}">
                <c16:uniqueId val="{00000005-ECD5-44CE-A2BB-E3A464C098DB}"/>
              </c:ext>
            </c:extLst>
          </c:dPt>
          <c:dPt>
            <c:idx val="3"/>
            <c:bubble3D val="0"/>
            <c:spPr>
              <a:solidFill>
                <a:srgbClr val="00468B">
                  <a:alpha val="50196"/>
                </a:srgbClr>
              </a:solidFill>
              <a:ln w="19050">
                <a:solidFill>
                  <a:schemeClr val="lt1"/>
                </a:solidFill>
              </a:ln>
              <a:effectLst/>
            </c:spPr>
            <c:extLst>
              <c:ext xmlns:c16="http://schemas.microsoft.com/office/drawing/2014/chart" uri="{C3380CC4-5D6E-409C-BE32-E72D297353CC}">
                <c16:uniqueId val="{00000007-ECD5-44CE-A2BB-E3A464C098DB}"/>
              </c:ext>
            </c:extLst>
          </c:dPt>
          <c:dPt>
            <c:idx val="4"/>
            <c:bubble3D val="0"/>
            <c:spPr>
              <a:solidFill>
                <a:srgbClr val="00468B"/>
              </a:solidFill>
              <a:ln w="19050">
                <a:solidFill>
                  <a:schemeClr val="lt1"/>
                </a:solidFill>
              </a:ln>
              <a:effectLst/>
            </c:spPr>
            <c:extLst>
              <c:ext xmlns:c16="http://schemas.microsoft.com/office/drawing/2014/chart" uri="{C3380CC4-5D6E-409C-BE32-E72D297353CC}">
                <c16:uniqueId val="{00000009-ECD5-44CE-A2BB-E3A464C098DB}"/>
              </c:ext>
            </c:extLst>
          </c:dPt>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7-ECD5-44CE-A2BB-E3A464C098D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'Quant analysis'!$BG$2:$BG$6</c:f>
              <c:strCache>
                <c:ptCount val="5"/>
                <c:pt idx="0">
                  <c:v>SO1</c:v>
                </c:pt>
                <c:pt idx="1">
                  <c:v>SO2</c:v>
                </c:pt>
                <c:pt idx="2">
                  <c:v>SO3</c:v>
                </c:pt>
                <c:pt idx="3">
                  <c:v>XC_Learning</c:v>
                </c:pt>
                <c:pt idx="4">
                  <c:v>XC_PWLE</c:v>
                </c:pt>
              </c:strCache>
            </c:strRef>
          </c:cat>
          <c:val>
            <c:numRef>
              <c:f>'Quant analysis'!$BH$2:$BH$6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ECD5-44CE-A2BB-E3A464C098DB}"/>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GT"/>
              <a:t>What contributes to changes in Mental Models at subnational and national levels?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5"/>
          <c:order val="5"/>
          <c:tx>
            <c:strRef>
              <c:f>'Quant analysis'!$DN$42</c:f>
              <c:strCache>
                <c:ptCount val="1"/>
                <c:pt idx="0">
                  <c:v>Mental Models</c:v>
                </c:pt>
              </c:strCache>
              <c:extLst xmlns:c15="http://schemas.microsoft.com/office/drawing/2012/chart"/>
            </c:strRef>
          </c:tx>
          <c:spPr>
            <a:solidFill>
              <a:srgbClr val="A25EB5"/>
            </a:solidFill>
            <a:ln w="19050">
              <a:solidFill>
                <a:schemeClr val="lt1"/>
              </a:solidFill>
            </a:ln>
            <a:effectLst/>
          </c:spPr>
          <c:invertIfNegative val="0"/>
          <c:dPt>
            <c:idx val="0"/>
            <c:invertIfNegative val="0"/>
            <c:bubble3D val="0"/>
            <c:spPr>
              <a:noFill/>
              <a:ln w="38100">
                <a:solidFill>
                  <a:srgbClr val="A25EB5"/>
                </a:solidFill>
              </a:ln>
              <a:effectLst/>
            </c:spPr>
            <c:extLst>
              <c:ext xmlns:c16="http://schemas.microsoft.com/office/drawing/2014/chart" uri="{C3380CC4-5D6E-409C-BE32-E72D297353CC}">
                <c16:uniqueId val="{00000014-17BE-493B-AE82-F4D1E73F2665}"/>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ext>
              </c:extLst>
              <c:f>('Quant analysis'!$DH$43:$DH$47,'Quant analysis'!$DH$49,'Quant analysis'!$DH$53:$DH$55)</c:f>
              <c:strCache>
                <c:ptCount val="9"/>
                <c:pt idx="0">
                  <c:v>Total outcomes</c:v>
                </c:pt>
                <c:pt idx="1">
                  <c:v>Govt meetings</c:v>
                </c:pt>
                <c:pt idx="2">
                  <c:v>Stakeholders supported</c:v>
                </c:pt>
                <c:pt idx="3">
                  <c:v>Learning products</c:v>
                </c:pt>
                <c:pt idx="4">
                  <c:v>Demo learning</c:v>
                </c:pt>
                <c:pt idx="5">
                  <c:v>SSW trained </c:v>
                </c:pt>
                <c:pt idx="6">
                  <c:v>Reg&amp;Global actors supported</c:v>
                </c:pt>
                <c:pt idx="7">
                  <c:v>External events</c:v>
                </c:pt>
                <c:pt idx="8">
                  <c:v>Mass media campaigns</c:v>
                </c:pt>
              </c:strCache>
            </c:strRef>
          </c:cat>
          <c:val>
            <c:numRef>
              <c:extLst>
                <c:ext xmlns:c15="http://schemas.microsoft.com/office/drawing/2012/chart" uri="{02D57815-91ED-43cb-92C2-25804820EDAC}">
                  <c15:fullRef>
                    <c15:sqref>'Quant analysis'!$DN$43:$DN$59</c15:sqref>
                  </c15:fullRef>
                </c:ext>
              </c:extLst>
              <c:f>('Quant analysis'!$DN$43:$DN$47,'Quant analysis'!$DN$49,'Quant analysis'!$DN$53:$DN$55)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F-17BE-493B-AE82-F4D1E73F2665}"/>
            </c:ext>
          </c:extLst>
        </c:ser>
        <c:dLbls>
          <c:dLblPos val="outEnd"/>
          <c:showLegendKey val="0"/>
          <c:showVal val="1"/>
          <c:showCatName val="0"/>
          <c:showSerName val="0"/>
          <c:showPercent val="0"/>
          <c:showBubbleSize val="0"/>
        </c:dLbls>
        <c:gapWidth val="20"/>
        <c:axId val="1400519279"/>
        <c:axId val="1446284799"/>
        <c:extLst>
          <c:ext xmlns:c15="http://schemas.microsoft.com/office/drawing/2012/chart" uri="{02D57815-91ED-43cb-92C2-25804820EDAC}">
            <c15:filteredBarSeries>
              <c15:ser>
                <c:idx val="0"/>
                <c:order val="0"/>
                <c:tx>
                  <c:strRef>
                    <c:extLst>
                      <c:ext uri="{02D57815-91ED-43cb-92C2-25804820EDAC}">
                        <c15:formulaRef>
                          <c15:sqref>'Quant analysis'!$DI$42</c15:sqref>
                        </c15:formulaRef>
                      </c:ext>
                    </c:extLst>
                    <c:strCache>
                      <c:ptCount val="1"/>
                      <c:pt idx="0">
                        <c:v>Policies</c:v>
                      </c:pt>
                    </c:strCache>
                  </c:strRef>
                </c:tx>
                <c:spPr>
                  <a:solidFill>
                    <a:srgbClr val="A25EB5"/>
                  </a:solidFill>
                  <a:ln w="38100">
                    <a:solidFill>
                      <a:srgbClr val="A25EB5"/>
                    </a:solidFill>
                  </a:ln>
                  <a:effectLst/>
                </c:spPr>
                <c:invertIfNegative val="0"/>
                <c:dPt>
                  <c:idx val="0"/>
                  <c:invertIfNegative val="0"/>
                  <c:bubble3D val="0"/>
                  <c:spPr>
                    <a:noFill/>
                    <a:ln w="38100">
                      <a:solidFill>
                        <a:srgbClr val="A25EB5"/>
                      </a:solidFill>
                    </a:ln>
                    <a:effectLst/>
                  </c:spPr>
                  <c:extLst>
                    <c:ext xmlns:c16="http://schemas.microsoft.com/office/drawing/2014/chart" uri="{C3380CC4-5D6E-409C-BE32-E72D297353CC}">
                      <c16:uniqueId val="{00000002-17BE-493B-AE82-F4D1E73F2665}"/>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17BE-493B-AE82-F4D1E73F2665}"/>
                      </c:ext>
                    </c:extLst>
                  </c:dLbl>
                  <c:dLbl>
                    <c:idx val="1"/>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3-17BE-493B-AE82-F4D1E73F2665}"/>
                      </c:ext>
                    </c:extLst>
                  </c:dLbl>
                  <c:dLbl>
                    <c:idx val="2"/>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17BE-493B-AE82-F4D1E73F2665}"/>
                      </c:ext>
                    </c:extLst>
                  </c:dLbl>
                  <c:dLbl>
                    <c:idx val="3"/>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17BE-493B-AE82-F4D1E73F2665}"/>
                      </c:ext>
                    </c:extLst>
                  </c:dLbl>
                  <c: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6-17BE-493B-AE82-F4D1E73F2665}"/>
                      </c:ext>
                    </c:extLst>
                  </c:dLbl>
                  <c:dLbl>
                    <c:idx val="5"/>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11-17BE-493B-AE82-F4D1E73F266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'Quant analysis'!$DH$43:$DH$59</c15:sqref>
                        </c15:fullRef>
                        <c15:formulaRef>
                          <c15:sqref>('Quant analysis'!$DH$43:$DH$47,'Quant analysis'!$DH$49,'Quant analysis'!$DH$53:$DH$55)</c15:sqref>
                        </c15:formulaRef>
                      </c:ext>
                    </c:extLst>
                    <c:strCache>
                      <c:ptCount val="9"/>
                      <c:pt idx="0">
                        <c:v>Total outcomes</c:v>
                      </c:pt>
                      <c:pt idx="1">
                        <c:v>Govt meetings</c:v>
                      </c:pt>
                      <c:pt idx="2">
                        <c:v>Stakeholders supported</c:v>
                      </c:pt>
                      <c:pt idx="3">
                        <c:v>Learning products</c:v>
                      </c:pt>
                      <c:pt idx="4">
                        <c:v>Demo learning</c:v>
                      </c:pt>
                      <c:pt idx="5">
                        <c:v>SSW trained </c:v>
                      </c:pt>
                      <c:pt idx="6">
                        <c:v>Reg&amp;Global actors supported</c:v>
                      </c:pt>
                      <c:pt idx="7">
                        <c:v>External events</c:v>
                      </c:pt>
                      <c:pt idx="8">
                        <c:v>Mass media campaigns</c:v>
                      </c:pt>
                    </c:strCache>
                  </c:strRef>
                </c:cat>
                <c:val>
                  <c:numRef>
                    <c:extLst>
                      <c:ext uri="{02D57815-91ED-43cb-92C2-25804820EDAC}">
                        <c15:fullRef>
                          <c15:sqref>'Quant analysis'!$DI$43:$DI$59</c15:sqref>
                        </c15:fullRef>
                        <c15:formulaRef>
                          <c15:sqref>('Quant analysis'!$DI$43:$DI$47,'Quant analysis'!$DI$49,'Quant analysis'!$DI$53:$DI$55)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uri="{02D57815-91ED-43cb-92C2-25804820EDAC}">
                    <c15:categoryFilterExceptions>
                      <c15:categoryFilterException>
                        <c15:sqref>'Quant analysis'!$DI$48</c15:sqref>
                        <c15:dLbl>
                          <c:idx val="4"/>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B504-D641-B54D-EC125E278671}"/>
                            </c:ext>
                          </c:extLst>
                        </c15:dLbl>
                      </c15:categoryFilterException>
                      <c15:categoryFilterException>
                        <c15:sqref>'Quant analysis'!$DI$57</c15:sqref>
                        <c15:dLbl>
                          <c:idx val="8"/>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9-B504-D641-B54D-EC125E278671}"/>
                            </c:ext>
                          </c:extLst>
                        </c15:dLbl>
                      </c15:categoryFilterException>
                      <c15:categoryFilterException>
                        <c15:sqref>'Quant analysis'!$DI$59</c15:sqref>
                        <c15:dLbl>
                          <c:idx val="8"/>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A-B504-D641-B54D-EC125E278671}"/>
                            </c:ext>
                          </c:extLst>
                        </c15:dLbl>
                      </c15:categoryFilterException>
                    </c15:categoryFilterExceptions>
                  </c:ext>
                  <c:ext xmlns:c16="http://schemas.microsoft.com/office/drawing/2014/chart" uri="{C3380CC4-5D6E-409C-BE32-E72D297353CC}">
                    <c16:uniqueId val="{00000007-17BE-493B-AE82-F4D1E73F266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'Quant analysis'!$DJ$42</c15:sqref>
                        </c15:formulaRef>
                      </c:ext>
                    </c:extLst>
                    <c:strCache>
                      <c:ptCount val="1"/>
                      <c:pt idx="0">
                        <c:v>Practices</c:v>
                      </c:pt>
                    </c:strCache>
                  </c:strRef>
                </c:tx>
                <c:spPr>
                  <a:solidFill>
                    <a:schemeClr val="accent2"/>
                  </a:solidFill>
                  <a:ln w="38100">
                    <a:solidFill>
                      <a:srgbClr val="79A02C"/>
                    </a:solidFill>
                  </a:ln>
                  <a:effectLst/>
                </c:spPr>
                <c:invertIfNegative val="0"/>
                <c:dPt>
                  <c:idx val="0"/>
                  <c:invertIfNegative val="0"/>
                  <c:bubble3D val="0"/>
                  <c:spPr>
                    <a:noFill/>
                    <a:ln w="38100">
                      <a:solidFill>
                        <a:srgbClr val="79A02C"/>
                      </a:solidFill>
                    </a:ln>
                    <a:effectLst/>
                  </c:spPr>
                  <c:extLst xmlns:c15="http://schemas.microsoft.com/office/drawing/2012/chart">
                    <c:ext xmlns:c16="http://schemas.microsoft.com/office/drawing/2014/chart" uri="{C3380CC4-5D6E-409C-BE32-E72D297353CC}">
                      <c16:uniqueId val="{00000009-17BE-493B-AE82-F4D1E73F2665}"/>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analysis'!$DH$53:$DH$55)</c15:sqref>
                        </c15:formulaRef>
                      </c:ext>
                    </c:extLst>
                    <c:strCache>
                      <c:ptCount val="9"/>
                      <c:pt idx="0">
                        <c:v>Total outcomes</c:v>
                      </c:pt>
                      <c:pt idx="1">
                        <c:v>Govt meetings</c:v>
                      </c:pt>
                      <c:pt idx="2">
                        <c:v>Stakeholders supported</c:v>
                      </c:pt>
                      <c:pt idx="3">
                        <c:v>Learning products</c:v>
                      </c:pt>
                      <c:pt idx="4">
                        <c:v>Demo learning</c:v>
                      </c:pt>
                      <c:pt idx="5">
                        <c:v>SSW trained </c:v>
                      </c:pt>
                      <c:pt idx="6">
                        <c:v>Reg&amp;Global actors supported</c:v>
                      </c:pt>
                      <c:pt idx="7">
                        <c:v>External events</c:v>
                      </c:pt>
                      <c:pt idx="8">
                        <c:v>Mass media campaigns</c:v>
                      </c:pt>
                    </c:strCache>
                  </c:strRef>
                </c:cat>
                <c:val>
                  <c:numRef>
                    <c:extLst>
                      <c:ext xmlns:c15="http://schemas.microsoft.com/office/drawing/2012/chart" uri="{02D57815-91ED-43cb-92C2-25804820EDAC}">
                        <c15:fullRef>
                          <c15:sqref>'Quant analysis'!$DJ$43:$DJ$59</c15:sqref>
                        </c15:fullRef>
                        <c15:formulaRef>
                          <c15:sqref>('Quant analysis'!$DJ$43:$DJ$47,'Quant analysis'!$DJ$49,'Quant analysis'!$DJ$53:$DJ$55)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A-17BE-493B-AE82-F4D1E73F266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'Quant analysis'!$DK$42</c15:sqref>
                        </c15:formulaRef>
                      </c:ext>
                    </c:extLst>
                    <c:strCache>
                      <c:ptCount val="1"/>
                      <c:pt idx="0">
                        <c:v>Resource Flows</c:v>
                      </c:pt>
                    </c:strCache>
                  </c:strRef>
                </c:tx>
                <c:spPr>
                  <a:solidFill>
                    <a:srgbClr val="7095AC"/>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analysis'!$DH$53:$DH$55)</c15:sqref>
                        </c15:formulaRef>
                      </c:ext>
                    </c:extLst>
                    <c:strCache>
                      <c:ptCount val="9"/>
                      <c:pt idx="0">
                        <c:v>Total outcomes</c:v>
                      </c:pt>
                      <c:pt idx="1">
                        <c:v>Govt meetings</c:v>
                      </c:pt>
                      <c:pt idx="2">
                        <c:v>Stakeholders supported</c:v>
                      </c:pt>
                      <c:pt idx="3">
                        <c:v>Learning products</c:v>
                      </c:pt>
                      <c:pt idx="4">
                        <c:v>Demo learning</c:v>
                      </c:pt>
                      <c:pt idx="5">
                        <c:v>SSW trained </c:v>
                      </c:pt>
                      <c:pt idx="6">
                        <c:v>Reg&amp;Global actors supported</c:v>
                      </c:pt>
                      <c:pt idx="7">
                        <c:v>External events</c:v>
                      </c:pt>
                      <c:pt idx="8">
                        <c:v>Mass media campaigns</c:v>
                      </c:pt>
                    </c:strCache>
                  </c:strRef>
                </c:cat>
                <c:val>
                  <c:numRef>
                    <c:extLst>
                      <c:ext xmlns:c15="http://schemas.microsoft.com/office/drawing/2012/chart" uri="{02D57815-91ED-43cb-92C2-25804820EDAC}">
                        <c15:fullRef>
                          <c15:sqref>'Quant analysis'!$DK$43:$DK$59</c15:sqref>
                        </c15:fullRef>
                        <c15:formulaRef>
                          <c15:sqref>('Quant analysis'!$DK$43:$DK$47,'Quant analysis'!$DK$49,'Quant analysis'!$DK$53:$DK$55)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B-17BE-493B-AE82-F4D1E73F266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'Quant analysis'!$DL$42</c15:sqref>
                        </c15:formulaRef>
                      </c:ext>
                    </c:extLst>
                    <c:strCache>
                      <c:ptCount val="1"/>
                      <c:pt idx="0">
                        <c:v>Relationships&amp; Connections</c:v>
                      </c:pt>
                    </c:strCache>
                  </c:strRef>
                </c:tx>
                <c:spPr>
                  <a:solidFill>
                    <a:srgbClr val="00468B"/>
                  </a:solidFill>
                  <a:ln w="19050">
                    <a:solidFill>
                      <a:schemeClr val="lt1"/>
                    </a:solidFill>
                  </a:ln>
                  <a:effectLst/>
                </c:spPr>
                <c:invertIfNegative val="0"/>
                <c:dPt>
                  <c:idx val="0"/>
                  <c:invertIfNegative val="0"/>
                  <c:bubble3D val="0"/>
                  <c:spPr>
                    <a:noFill/>
                    <a:ln w="38100">
                      <a:solidFill>
                        <a:srgbClr val="00468B"/>
                      </a:solidFill>
                    </a:ln>
                    <a:effectLst/>
                  </c:spPr>
                  <c:extLst xmlns:c15="http://schemas.microsoft.com/office/drawing/2012/chart">
                    <c:ext xmlns:c16="http://schemas.microsoft.com/office/drawing/2014/chart" uri="{C3380CC4-5D6E-409C-BE32-E72D297353CC}">
                      <c16:uniqueId val="{0000000D-17BE-493B-AE82-F4D1E73F2665}"/>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analysis'!$DH$53:$DH$55)</c15:sqref>
                        </c15:formulaRef>
                      </c:ext>
                    </c:extLst>
                    <c:strCache>
                      <c:ptCount val="9"/>
                      <c:pt idx="0">
                        <c:v>Total outcomes</c:v>
                      </c:pt>
                      <c:pt idx="1">
                        <c:v>Govt meetings</c:v>
                      </c:pt>
                      <c:pt idx="2">
                        <c:v>Stakeholders supported</c:v>
                      </c:pt>
                      <c:pt idx="3">
                        <c:v>Learning products</c:v>
                      </c:pt>
                      <c:pt idx="4">
                        <c:v>Demo learning</c:v>
                      </c:pt>
                      <c:pt idx="5">
                        <c:v>SSW trained </c:v>
                      </c:pt>
                      <c:pt idx="6">
                        <c:v>Reg&amp;Global actors supported</c:v>
                      </c:pt>
                      <c:pt idx="7">
                        <c:v>External events</c:v>
                      </c:pt>
                      <c:pt idx="8">
                        <c:v>Mass media campaigns</c:v>
                      </c:pt>
                    </c:strCache>
                  </c:strRef>
                </c:cat>
                <c:val>
                  <c:numRef>
                    <c:extLst>
                      <c:ext xmlns:c15="http://schemas.microsoft.com/office/drawing/2012/chart" uri="{02D57815-91ED-43cb-92C2-25804820EDAC}">
                        <c15:fullRef>
                          <c15:sqref>'Quant analysis'!$DL$43:$DL$59</c15:sqref>
                        </c15:fullRef>
                        <c15:formulaRef>
                          <c15:sqref>('Quant analysis'!$DL$43:$DL$47,'Quant analysis'!$DL$49,'Quant analysis'!$DL$53:$DL$55)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E-17BE-493B-AE82-F4D1E73F266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'Quant analysis'!$DM$42</c15:sqref>
                        </c15:formulaRef>
                      </c:ext>
                    </c:extLst>
                    <c:strCache>
                      <c:ptCount val="1"/>
                      <c:pt idx="0">
                        <c:v>Power Dynamics</c:v>
                      </c:pt>
                    </c:strCache>
                  </c:strRef>
                </c:tx>
                <c:spPr>
                  <a:solidFill>
                    <a:srgbClr val="79A02C">
                      <a:alpha val="49804"/>
                    </a:srgb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analysis'!$DH$43:$DH$59</c15:sqref>
                        </c15:fullRef>
                        <c15:formulaRef>
                          <c15:sqref>('Quant analysis'!$DH$43:$DH$47,'Quant analysis'!$DH$49,'Quant analysis'!$DH$53:$DH$55)</c15:sqref>
                        </c15:formulaRef>
                      </c:ext>
                    </c:extLst>
                    <c:strCache>
                      <c:ptCount val="9"/>
                      <c:pt idx="0">
                        <c:v>Total outcomes</c:v>
                      </c:pt>
                      <c:pt idx="1">
                        <c:v>Govt meetings</c:v>
                      </c:pt>
                      <c:pt idx="2">
                        <c:v>Stakeholders supported</c:v>
                      </c:pt>
                      <c:pt idx="3">
                        <c:v>Learning products</c:v>
                      </c:pt>
                      <c:pt idx="4">
                        <c:v>Demo learning</c:v>
                      </c:pt>
                      <c:pt idx="5">
                        <c:v>SSW trained </c:v>
                      </c:pt>
                      <c:pt idx="6">
                        <c:v>Reg&amp;Global actors supported</c:v>
                      </c:pt>
                      <c:pt idx="7">
                        <c:v>External events</c:v>
                      </c:pt>
                      <c:pt idx="8">
                        <c:v>Mass media campaigns</c:v>
                      </c:pt>
                    </c:strCache>
                  </c:strRef>
                </c:cat>
                <c:val>
                  <c:numRef>
                    <c:extLst>
                      <c:ext xmlns:c15="http://schemas.microsoft.com/office/drawing/2012/chart" uri="{02D57815-91ED-43cb-92C2-25804820EDAC}">
                        <c15:fullRef>
                          <c15:sqref>'Quant analysis'!$DM$43:$DM$59</c15:sqref>
                        </c15:fullRef>
                        <c15:formulaRef>
                          <c15:sqref>('Quant analysis'!$DM$43:$DM$47,'Quant analysis'!$DM$49,'Quant analysis'!$DM$53:$DM$55)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0-17BE-493B-AE82-F4D1E73F2665}"/>
                  </c:ext>
                </c:extLst>
              </c15:ser>
            </c15:filteredBarSeries>
          </c:ext>
        </c:extLst>
      </c:barChart>
      <c:catAx>
        <c:axId val="1400519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46284799"/>
        <c:crosses val="autoZero"/>
        <c:auto val="1"/>
        <c:lblAlgn val="ctr"/>
        <c:lblOffset val="100"/>
        <c:noMultiLvlLbl val="0"/>
      </c:catAx>
      <c:valAx>
        <c:axId val="1446284799"/>
        <c:scaling>
          <c:orientation val="minMax"/>
          <c:max val="80"/>
          <c:min val="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40051927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GT"/>
              <a:t>Time between 1st</a:t>
            </a:r>
            <a:r>
              <a:rPr lang="es-GT" baseline="0"/>
              <a:t> contribution and behavior change</a:t>
            </a:r>
            <a:endParaRPr lang="es-GT"/>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GT"/>
        </a:p>
      </c:txPr>
    </c:title>
    <c:autoTitleDeleted val="0"/>
    <c:plotArea>
      <c:layout/>
      <c:barChart>
        <c:barDir val="bar"/>
        <c:grouping val="percentStacked"/>
        <c:varyColors val="0"/>
        <c:ser>
          <c:idx val="0"/>
          <c:order val="0"/>
          <c:tx>
            <c:strRef>
              <c:f>'Quant analysis'!$DS$35</c:f>
              <c:strCache>
                <c:ptCount val="1"/>
                <c:pt idx="0">
                  <c:v>up to 2 quarters</c:v>
                </c:pt>
              </c:strCache>
            </c:strRef>
          </c:tx>
          <c:spPr>
            <a:solidFill>
              <a:schemeClr val="accent1"/>
            </a:solidFill>
            <a:ln>
              <a:noFill/>
            </a:ln>
            <a:effectLst/>
          </c:spPr>
          <c:invertIfNegative val="0"/>
          <c:cat>
            <c:strRef>
              <c:f>'Quant analysis'!$DT$34:$DY$34</c:f>
              <c:strCache>
                <c:ptCount val="6"/>
                <c:pt idx="0">
                  <c:v>Policies</c:v>
                </c:pt>
                <c:pt idx="1">
                  <c:v>Practices</c:v>
                </c:pt>
                <c:pt idx="2">
                  <c:v>Resource Flows</c:v>
                </c:pt>
                <c:pt idx="3">
                  <c:v>Relationships&amp; Connections</c:v>
                </c:pt>
                <c:pt idx="4">
                  <c:v>Power Dynamics</c:v>
                </c:pt>
                <c:pt idx="5">
                  <c:v>Mental Models</c:v>
                </c:pt>
              </c:strCache>
            </c:strRef>
          </c:cat>
          <c:val>
            <c:numRef>
              <c:f>'Quant analysis'!$DT$35:$DY$35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621-4A1C-94EA-21E332AA8BAC}"/>
            </c:ext>
          </c:extLst>
        </c:ser>
        <c:ser>
          <c:idx val="1"/>
          <c:order val="1"/>
          <c:tx>
            <c:strRef>
              <c:f>'Quant analysis'!$DS$36</c:f>
              <c:strCache>
                <c:ptCount val="1"/>
                <c:pt idx="0">
                  <c:v>3-4 quarters</c:v>
                </c:pt>
              </c:strCache>
            </c:strRef>
          </c:tx>
          <c:spPr>
            <a:solidFill>
              <a:schemeClr val="accent2"/>
            </a:solidFill>
            <a:ln>
              <a:noFill/>
            </a:ln>
            <a:effectLst/>
          </c:spPr>
          <c:invertIfNegative val="0"/>
          <c:cat>
            <c:strRef>
              <c:f>'Quant analysis'!$DT$34:$DY$34</c:f>
              <c:strCache>
                <c:ptCount val="6"/>
                <c:pt idx="0">
                  <c:v>Policies</c:v>
                </c:pt>
                <c:pt idx="1">
                  <c:v>Practices</c:v>
                </c:pt>
                <c:pt idx="2">
                  <c:v>Resource Flows</c:v>
                </c:pt>
                <c:pt idx="3">
                  <c:v>Relationships&amp; Connections</c:v>
                </c:pt>
                <c:pt idx="4">
                  <c:v>Power Dynamics</c:v>
                </c:pt>
                <c:pt idx="5">
                  <c:v>Mental Models</c:v>
                </c:pt>
              </c:strCache>
            </c:strRef>
          </c:cat>
          <c:val>
            <c:numRef>
              <c:f>'Quant analysis'!$DT$36:$DY$36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621-4A1C-94EA-21E332AA8BAC}"/>
            </c:ext>
          </c:extLst>
        </c:ser>
        <c:ser>
          <c:idx val="2"/>
          <c:order val="2"/>
          <c:tx>
            <c:strRef>
              <c:f>'Quant analysis'!$DS$37</c:f>
              <c:strCache>
                <c:ptCount val="1"/>
                <c:pt idx="0">
                  <c:v>1-2 years</c:v>
                </c:pt>
              </c:strCache>
            </c:strRef>
          </c:tx>
          <c:spPr>
            <a:solidFill>
              <a:schemeClr val="accent3"/>
            </a:solidFill>
            <a:ln>
              <a:noFill/>
            </a:ln>
            <a:effectLst/>
          </c:spPr>
          <c:invertIfNegative val="0"/>
          <c:cat>
            <c:strRef>
              <c:f>'Quant analysis'!$DT$34:$DY$34</c:f>
              <c:strCache>
                <c:ptCount val="6"/>
                <c:pt idx="0">
                  <c:v>Policies</c:v>
                </c:pt>
                <c:pt idx="1">
                  <c:v>Practices</c:v>
                </c:pt>
                <c:pt idx="2">
                  <c:v>Resource Flows</c:v>
                </c:pt>
                <c:pt idx="3">
                  <c:v>Relationships&amp; Connections</c:v>
                </c:pt>
                <c:pt idx="4">
                  <c:v>Power Dynamics</c:v>
                </c:pt>
                <c:pt idx="5">
                  <c:v>Mental Models</c:v>
                </c:pt>
              </c:strCache>
            </c:strRef>
          </c:cat>
          <c:val>
            <c:numRef>
              <c:f>'Quant analysis'!$DT$37:$DY$37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621-4A1C-94EA-21E332AA8BAC}"/>
            </c:ext>
          </c:extLst>
        </c:ser>
        <c:ser>
          <c:idx val="3"/>
          <c:order val="3"/>
          <c:tx>
            <c:strRef>
              <c:f>'Quant analysis'!$DS$38</c:f>
              <c:strCache>
                <c:ptCount val="1"/>
                <c:pt idx="0">
                  <c:v>more than 2 years</c:v>
                </c:pt>
              </c:strCache>
            </c:strRef>
          </c:tx>
          <c:spPr>
            <a:solidFill>
              <a:schemeClr val="accent4"/>
            </a:solidFill>
            <a:ln>
              <a:noFill/>
            </a:ln>
            <a:effectLst/>
          </c:spPr>
          <c:invertIfNegative val="0"/>
          <c:cat>
            <c:strRef>
              <c:f>'Quant analysis'!$DT$34:$DY$34</c:f>
              <c:strCache>
                <c:ptCount val="6"/>
                <c:pt idx="0">
                  <c:v>Policies</c:v>
                </c:pt>
                <c:pt idx="1">
                  <c:v>Practices</c:v>
                </c:pt>
                <c:pt idx="2">
                  <c:v>Resource Flows</c:v>
                </c:pt>
                <c:pt idx="3">
                  <c:v>Relationships&amp; Connections</c:v>
                </c:pt>
                <c:pt idx="4">
                  <c:v>Power Dynamics</c:v>
                </c:pt>
                <c:pt idx="5">
                  <c:v>Mental Models</c:v>
                </c:pt>
              </c:strCache>
            </c:strRef>
          </c:cat>
          <c:val>
            <c:numRef>
              <c:f>'Quant analysis'!$DT$38:$DY$38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E621-4A1C-94EA-21E332AA8BAC}"/>
            </c:ext>
          </c:extLst>
        </c:ser>
        <c:dLbls>
          <c:showLegendKey val="0"/>
          <c:showVal val="0"/>
          <c:showCatName val="0"/>
          <c:showSerName val="0"/>
          <c:showPercent val="0"/>
          <c:showBubbleSize val="0"/>
        </c:dLbls>
        <c:gapWidth val="54"/>
        <c:overlap val="100"/>
        <c:axId val="514985775"/>
        <c:axId val="514996335"/>
      </c:barChart>
      <c:catAx>
        <c:axId val="5149857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14996335"/>
        <c:crosses val="autoZero"/>
        <c:auto val="1"/>
        <c:lblAlgn val="ctr"/>
        <c:lblOffset val="100"/>
        <c:noMultiLvlLbl val="0"/>
      </c:catAx>
      <c:valAx>
        <c:axId val="514996335"/>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1498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1" i="0" u="none" strike="noStrike" kern="1200" spc="0" baseline="0">
                <a:solidFill>
                  <a:sysClr val="windowText" lastClr="000000"/>
                </a:solidFill>
                <a:latin typeface="+mn-lt"/>
                <a:ea typeface="+mn-ea"/>
                <a:cs typeface="+mn-cs"/>
              </a:defRPr>
            </a:pPr>
            <a:r>
              <a:rPr lang="ro-MD"/>
              <a:t>Guatemala</a:t>
            </a:r>
            <a:r>
              <a:rPr lang="es-GT"/>
              <a:t> </a:t>
            </a:r>
            <a:r>
              <a:rPr lang="ro-MD"/>
              <a:t>subnational &amp; national level </a:t>
            </a:r>
            <a:r>
              <a:rPr lang="es-GT"/>
              <a:t>outcomes by system change type and level</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'Quant analysis'!$EC$12</c:f>
              <c:strCache>
                <c:ptCount val="1"/>
                <c:pt idx="0">
                  <c:v>Policies</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analysis'!$EB$13:$EB$15</c:f>
              <c:strCache>
                <c:ptCount val="3"/>
                <c:pt idx="0">
                  <c:v>Structural change (Explicit)</c:v>
                </c:pt>
                <c:pt idx="1">
                  <c:v>Relational Change (semi-explicit)</c:v>
                </c:pt>
                <c:pt idx="2">
                  <c:v>Transformative change (implicit)</c:v>
                </c:pt>
              </c:strCache>
            </c:strRef>
          </c:cat>
          <c:val>
            <c:numRef>
              <c:f>'Quant analysis'!$EC$13:$EC$15</c:f>
              <c:numCache>
                <c:formatCode>General</c:formatCode>
                <c:ptCount val="3"/>
                <c:pt idx="0">
                  <c:v>0</c:v>
                </c:pt>
              </c:numCache>
            </c:numRef>
          </c:val>
          <c:extLst>
            <c:ext xmlns:c16="http://schemas.microsoft.com/office/drawing/2014/chart" uri="{C3380CC4-5D6E-409C-BE32-E72D297353CC}">
              <c16:uniqueId val="{00000001-8074-40C5-B351-35FEF00AFE22}"/>
            </c:ext>
          </c:extLst>
        </c:ser>
        <c:ser>
          <c:idx val="1"/>
          <c:order val="1"/>
          <c:tx>
            <c:strRef>
              <c:f>'Quant analysis'!$ED$12</c:f>
              <c:strCache>
                <c:ptCount val="1"/>
                <c:pt idx="0">
                  <c:v>Practices</c:v>
                </c:pt>
              </c:strCache>
            </c:strRef>
          </c:tx>
          <c:spPr>
            <a:solidFill>
              <a:srgbClr val="00468B">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analysis'!$EB$13:$EB$15</c:f>
              <c:strCache>
                <c:ptCount val="3"/>
                <c:pt idx="0">
                  <c:v>Structural change (Explicit)</c:v>
                </c:pt>
                <c:pt idx="1">
                  <c:v>Relational Change (semi-explicit)</c:v>
                </c:pt>
                <c:pt idx="2">
                  <c:v>Transformative change (implicit)</c:v>
                </c:pt>
              </c:strCache>
            </c:strRef>
          </c:cat>
          <c:val>
            <c:numRef>
              <c:f>'Quant analysis'!$ED$13:$ED$15</c:f>
              <c:numCache>
                <c:formatCode>General</c:formatCode>
                <c:ptCount val="3"/>
                <c:pt idx="0">
                  <c:v>0</c:v>
                </c:pt>
              </c:numCache>
            </c:numRef>
          </c:val>
          <c:extLst>
            <c:ext xmlns:c16="http://schemas.microsoft.com/office/drawing/2014/chart" uri="{C3380CC4-5D6E-409C-BE32-E72D297353CC}">
              <c16:uniqueId val="{00000002-8074-40C5-B351-35FEF00AFE22}"/>
            </c:ext>
          </c:extLst>
        </c:ser>
        <c:ser>
          <c:idx val="2"/>
          <c:order val="2"/>
          <c:tx>
            <c:strRef>
              <c:f>'Quant analysis'!$EE$12</c:f>
              <c:strCache>
                <c:ptCount val="1"/>
                <c:pt idx="0">
                  <c:v>Resource Flows</c:v>
                </c:pt>
              </c:strCache>
            </c:strRef>
          </c:tx>
          <c:spPr>
            <a:solidFill>
              <a:srgbClr val="00468B">
                <a:alpha val="49804"/>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analysis'!$EB$13:$EB$15</c:f>
              <c:strCache>
                <c:ptCount val="3"/>
                <c:pt idx="0">
                  <c:v>Structural change (Explicit)</c:v>
                </c:pt>
                <c:pt idx="1">
                  <c:v>Relational Change (semi-explicit)</c:v>
                </c:pt>
                <c:pt idx="2">
                  <c:v>Transformative change (implicit)</c:v>
                </c:pt>
              </c:strCache>
            </c:strRef>
          </c:cat>
          <c:val>
            <c:numRef>
              <c:f>'Quant analysis'!$EE$13:$EE$15</c:f>
              <c:numCache>
                <c:formatCode>General</c:formatCode>
                <c:ptCount val="3"/>
                <c:pt idx="0">
                  <c:v>0</c:v>
                </c:pt>
              </c:numCache>
            </c:numRef>
          </c:val>
          <c:extLst>
            <c:ext xmlns:c16="http://schemas.microsoft.com/office/drawing/2014/chart" uri="{C3380CC4-5D6E-409C-BE32-E72D297353CC}">
              <c16:uniqueId val="{00000003-8074-40C5-B351-35FEF00AFE22}"/>
            </c:ext>
          </c:extLst>
        </c:ser>
        <c:ser>
          <c:idx val="3"/>
          <c:order val="3"/>
          <c:tx>
            <c:strRef>
              <c:f>'Quant analysis'!$EF$12</c:f>
              <c:strCache>
                <c:ptCount val="1"/>
                <c:pt idx="0">
                  <c:v>Relationships&amp; Connections</c:v>
                </c:pt>
              </c:strCache>
            </c:strRef>
          </c:tx>
          <c:spPr>
            <a:solidFill>
              <a:srgbClr val="79A0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analysis'!$EB$13:$EB$15</c:f>
              <c:strCache>
                <c:ptCount val="3"/>
                <c:pt idx="0">
                  <c:v>Structural change (Explicit)</c:v>
                </c:pt>
                <c:pt idx="1">
                  <c:v>Relational Change (semi-explicit)</c:v>
                </c:pt>
                <c:pt idx="2">
                  <c:v>Transformative change (implicit)</c:v>
                </c:pt>
              </c:strCache>
            </c:strRef>
          </c:cat>
          <c:val>
            <c:numRef>
              <c:f>'Quant analysis'!$EF$13:$EF$15</c:f>
              <c:numCache>
                <c:formatCode>General</c:formatCode>
                <c:ptCount val="3"/>
                <c:pt idx="1">
                  <c:v>0</c:v>
                </c:pt>
              </c:numCache>
            </c:numRef>
          </c:val>
          <c:extLst>
            <c:ext xmlns:c16="http://schemas.microsoft.com/office/drawing/2014/chart" uri="{C3380CC4-5D6E-409C-BE32-E72D297353CC}">
              <c16:uniqueId val="{00000004-8074-40C5-B351-35FEF00AFE22}"/>
            </c:ext>
          </c:extLst>
        </c:ser>
        <c:ser>
          <c:idx val="4"/>
          <c:order val="4"/>
          <c:tx>
            <c:strRef>
              <c:f>'Quant analysis'!$EG$12</c:f>
              <c:strCache>
                <c:ptCount val="1"/>
                <c:pt idx="0">
                  <c:v>Power Dynamics</c:v>
                </c:pt>
              </c:strCache>
            </c:strRef>
          </c:tx>
          <c:spPr>
            <a:solidFill>
              <a:srgbClr val="79A02C">
                <a:alpha val="50196"/>
              </a:srgbClr>
            </a:solidFill>
            <a:ln>
              <a:noFill/>
            </a:ln>
            <a:effectLst/>
          </c:spPr>
          <c:invertIfNegative val="0"/>
          <c:dLbls>
            <c:dLbl>
              <c:idx val="1"/>
              <c:layout>
                <c:manualLayout>
                  <c:x val="0"/>
                  <c:y val="1.1376755831611272E-6"/>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0.10467170432192618"/>
                      <c:h val="0.19106057764569476"/>
                    </c:manualLayout>
                  </c15:layout>
                </c:ext>
                <c:ext xmlns:c16="http://schemas.microsoft.com/office/drawing/2014/chart" uri="{C3380CC4-5D6E-409C-BE32-E72D297353CC}">
                  <c16:uniqueId val="{00000007-8074-40C5-B351-35FEF00AFE2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analysis'!$EB$13:$EB$15</c:f>
              <c:strCache>
                <c:ptCount val="3"/>
                <c:pt idx="0">
                  <c:v>Structural change (Explicit)</c:v>
                </c:pt>
                <c:pt idx="1">
                  <c:v>Relational Change (semi-explicit)</c:v>
                </c:pt>
                <c:pt idx="2">
                  <c:v>Transformative change (implicit)</c:v>
                </c:pt>
              </c:strCache>
            </c:strRef>
          </c:cat>
          <c:val>
            <c:numRef>
              <c:f>'Quant analysis'!$EG$13:$EG$15</c:f>
              <c:numCache>
                <c:formatCode>General</c:formatCode>
                <c:ptCount val="3"/>
                <c:pt idx="1">
                  <c:v>0</c:v>
                </c:pt>
              </c:numCache>
            </c:numRef>
          </c:val>
          <c:extLst>
            <c:ext xmlns:c16="http://schemas.microsoft.com/office/drawing/2014/chart" uri="{C3380CC4-5D6E-409C-BE32-E72D297353CC}">
              <c16:uniqueId val="{00000005-8074-40C5-B351-35FEF00AFE22}"/>
            </c:ext>
          </c:extLst>
        </c:ser>
        <c:ser>
          <c:idx val="5"/>
          <c:order val="5"/>
          <c:tx>
            <c:strRef>
              <c:f>'Quant analysis'!$EH$12</c:f>
              <c:strCache>
                <c:ptCount val="1"/>
                <c:pt idx="0">
                  <c:v>Mental Models</c:v>
                </c:pt>
              </c:strCache>
            </c:strRef>
          </c:tx>
          <c:spPr>
            <a:solidFill>
              <a:srgbClr val="A25EB5"/>
            </a:solidFill>
            <a:ln>
              <a:noFill/>
            </a:ln>
            <a:effectLst/>
          </c:spPr>
          <c:invertIfNegative val="0"/>
          <c:dLbls>
            <c:dLbl>
              <c:idx val="2"/>
              <c:layout>
                <c:manualLayout>
                  <c:x val="6.9733120191727024E-8"/>
                  <c:y val="-5.7784818219919973E-3"/>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9.7068860933678169E-2"/>
                      <c:h val="0.20844552556614016"/>
                    </c:manualLayout>
                  </c15:layout>
                </c:ext>
                <c:ext xmlns:c16="http://schemas.microsoft.com/office/drawing/2014/chart" uri="{C3380CC4-5D6E-409C-BE32-E72D297353CC}">
                  <c16:uniqueId val="{00000008-8074-40C5-B351-35FEF00AFE2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analysis'!$EB$13:$EB$15</c:f>
              <c:strCache>
                <c:ptCount val="3"/>
                <c:pt idx="0">
                  <c:v>Structural change (Explicit)</c:v>
                </c:pt>
                <c:pt idx="1">
                  <c:v>Relational Change (semi-explicit)</c:v>
                </c:pt>
                <c:pt idx="2">
                  <c:v>Transformative change (implicit)</c:v>
                </c:pt>
              </c:strCache>
            </c:strRef>
          </c:cat>
          <c:val>
            <c:numRef>
              <c:f>'Quant analysis'!$EH$13:$EH$15</c:f>
              <c:numCache>
                <c:formatCode>General</c:formatCode>
                <c:ptCount val="3"/>
                <c:pt idx="2">
                  <c:v>0</c:v>
                </c:pt>
              </c:numCache>
            </c:numRef>
          </c:val>
          <c:extLst>
            <c:ext xmlns:c16="http://schemas.microsoft.com/office/drawing/2014/chart" uri="{C3380CC4-5D6E-409C-BE32-E72D297353CC}">
              <c16:uniqueId val="{00000006-8074-40C5-B351-35FEF00AFE22}"/>
            </c:ext>
          </c:extLst>
        </c:ser>
        <c:dLbls>
          <c:showLegendKey val="0"/>
          <c:showVal val="0"/>
          <c:showCatName val="0"/>
          <c:showSerName val="0"/>
          <c:showPercent val="0"/>
          <c:showBubbleSize val="0"/>
        </c:dLbls>
        <c:gapWidth val="42"/>
        <c:overlap val="100"/>
        <c:axId val="711209279"/>
        <c:axId val="231496239"/>
      </c:barChart>
      <c:catAx>
        <c:axId val="711209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31496239"/>
        <c:crosses val="autoZero"/>
        <c:auto val="1"/>
        <c:lblAlgn val="ctr"/>
        <c:lblOffset val="100"/>
        <c:noMultiLvlLbl val="0"/>
      </c:catAx>
      <c:valAx>
        <c:axId val="231496239"/>
        <c:scaling>
          <c:orientation val="minMax"/>
          <c:max val="50"/>
        </c:scaling>
        <c:delete val="1"/>
        <c:axPos val="t"/>
        <c:numFmt formatCode="General" sourceLinked="1"/>
        <c:majorTickMark val="out"/>
        <c:minorTickMark val="none"/>
        <c:tickLblPos val="nextTo"/>
        <c:crossAx val="71120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r>
              <a:rPr lang="ro-MD" sz="1000" b="1" i="0" u="none" strike="noStrike" kern="1200" spc="0" baseline="0">
                <a:solidFill>
                  <a:sysClr val="windowText" lastClr="000000"/>
                </a:solidFill>
              </a:rPr>
              <a:t>Guatemala - </a:t>
            </a:r>
            <a:r>
              <a:rPr lang="es-GT" sz="1000" b="1" i="0" u="none" strike="noStrike" kern="1200" spc="0" baseline="0">
                <a:solidFill>
                  <a:sysClr val="windowText" lastClr="000000"/>
                </a:solidFill>
              </a:rPr>
              <a:t>Three levels of national and subnational system change by years</a:t>
            </a:r>
          </a:p>
        </c:rich>
      </c:tx>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rgbClr val="00468B"/>
            </a:solidFill>
            <a:ln>
              <a:noFill/>
            </a:ln>
            <a:effectLst/>
          </c:spPr>
          <c:invertIfNegative val="0"/>
          <c:dPt>
            <c:idx val="7"/>
            <c:invertIfNegative val="0"/>
            <c:bubble3D val="0"/>
            <c:spPr>
              <a:solidFill>
                <a:srgbClr val="79A02C"/>
              </a:solidFill>
              <a:ln>
                <a:noFill/>
              </a:ln>
              <a:effectLst/>
            </c:spPr>
            <c:extLst>
              <c:ext xmlns:c16="http://schemas.microsoft.com/office/drawing/2014/chart" uri="{C3380CC4-5D6E-409C-BE32-E72D297353CC}">
                <c16:uniqueId val="{00000001-AE3F-40B0-A4FC-CDC28B2EDDF3}"/>
              </c:ext>
            </c:extLst>
          </c:dPt>
          <c:dPt>
            <c:idx val="8"/>
            <c:invertIfNegative val="0"/>
            <c:bubble3D val="0"/>
            <c:spPr>
              <a:solidFill>
                <a:srgbClr val="79A02C"/>
              </a:solidFill>
              <a:ln>
                <a:noFill/>
              </a:ln>
              <a:effectLst/>
            </c:spPr>
            <c:extLst>
              <c:ext xmlns:c16="http://schemas.microsoft.com/office/drawing/2014/chart" uri="{C3380CC4-5D6E-409C-BE32-E72D297353CC}">
                <c16:uniqueId val="{00000003-AE3F-40B0-A4FC-CDC28B2EDDF3}"/>
              </c:ext>
            </c:extLst>
          </c:dPt>
          <c:dPt>
            <c:idx val="9"/>
            <c:invertIfNegative val="0"/>
            <c:bubble3D val="0"/>
            <c:spPr>
              <a:solidFill>
                <a:srgbClr val="79A02C"/>
              </a:solidFill>
              <a:ln>
                <a:noFill/>
              </a:ln>
              <a:effectLst/>
            </c:spPr>
            <c:extLst>
              <c:ext xmlns:c16="http://schemas.microsoft.com/office/drawing/2014/chart" uri="{C3380CC4-5D6E-409C-BE32-E72D297353CC}">
                <c16:uniqueId val="{00000005-AE3F-40B0-A4FC-CDC28B2EDDF3}"/>
              </c:ext>
            </c:extLst>
          </c:dPt>
          <c:dPt>
            <c:idx val="10"/>
            <c:invertIfNegative val="0"/>
            <c:bubble3D val="0"/>
            <c:spPr>
              <a:solidFill>
                <a:srgbClr val="79A02C"/>
              </a:solidFill>
              <a:ln>
                <a:noFill/>
              </a:ln>
              <a:effectLst/>
            </c:spPr>
            <c:extLst>
              <c:ext xmlns:c16="http://schemas.microsoft.com/office/drawing/2014/chart" uri="{C3380CC4-5D6E-409C-BE32-E72D297353CC}">
                <c16:uniqueId val="{00000007-AE3F-40B0-A4FC-CDC28B2EDDF3}"/>
              </c:ext>
            </c:extLst>
          </c:dPt>
          <c:dPt>
            <c:idx val="11"/>
            <c:invertIfNegative val="0"/>
            <c:bubble3D val="0"/>
            <c:spPr>
              <a:solidFill>
                <a:srgbClr val="79A02C"/>
              </a:solidFill>
              <a:ln>
                <a:noFill/>
              </a:ln>
              <a:effectLst/>
            </c:spPr>
            <c:extLst>
              <c:ext xmlns:c16="http://schemas.microsoft.com/office/drawing/2014/chart" uri="{C3380CC4-5D6E-409C-BE32-E72D297353CC}">
                <c16:uniqueId val="{00000009-AE3F-40B0-A4FC-CDC28B2EDDF3}"/>
              </c:ext>
            </c:extLst>
          </c:dPt>
          <c:dPt>
            <c:idx val="12"/>
            <c:invertIfNegative val="0"/>
            <c:bubble3D val="0"/>
            <c:spPr>
              <a:solidFill>
                <a:srgbClr val="79A02C"/>
              </a:solidFill>
              <a:ln>
                <a:noFill/>
              </a:ln>
              <a:effectLst/>
            </c:spPr>
            <c:extLst>
              <c:ext xmlns:c16="http://schemas.microsoft.com/office/drawing/2014/chart" uri="{C3380CC4-5D6E-409C-BE32-E72D297353CC}">
                <c16:uniqueId val="{0000000B-AE3F-40B0-A4FC-CDC28B2EDDF3}"/>
              </c:ext>
            </c:extLst>
          </c:dPt>
          <c:dPt>
            <c:idx val="14"/>
            <c:invertIfNegative val="0"/>
            <c:bubble3D val="0"/>
            <c:spPr>
              <a:solidFill>
                <a:srgbClr val="A25EB5"/>
              </a:solidFill>
              <a:ln>
                <a:noFill/>
              </a:ln>
              <a:effectLst/>
            </c:spPr>
            <c:extLst>
              <c:ext xmlns:c16="http://schemas.microsoft.com/office/drawing/2014/chart" uri="{C3380CC4-5D6E-409C-BE32-E72D297353CC}">
                <c16:uniqueId val="{0000000D-AE3F-40B0-A4FC-CDC28B2EDDF3}"/>
              </c:ext>
            </c:extLst>
          </c:dPt>
          <c:dPt>
            <c:idx val="15"/>
            <c:invertIfNegative val="0"/>
            <c:bubble3D val="0"/>
            <c:spPr>
              <a:solidFill>
                <a:srgbClr val="A25EB5"/>
              </a:solidFill>
              <a:ln>
                <a:noFill/>
              </a:ln>
              <a:effectLst/>
            </c:spPr>
            <c:extLst>
              <c:ext xmlns:c16="http://schemas.microsoft.com/office/drawing/2014/chart" uri="{C3380CC4-5D6E-409C-BE32-E72D297353CC}">
                <c16:uniqueId val="{0000000F-AE3F-40B0-A4FC-CDC28B2EDDF3}"/>
              </c:ext>
            </c:extLst>
          </c:dPt>
          <c:dPt>
            <c:idx val="16"/>
            <c:invertIfNegative val="0"/>
            <c:bubble3D val="0"/>
            <c:spPr>
              <a:solidFill>
                <a:srgbClr val="A25EB5"/>
              </a:solidFill>
              <a:ln>
                <a:noFill/>
              </a:ln>
              <a:effectLst/>
            </c:spPr>
            <c:extLst>
              <c:ext xmlns:c16="http://schemas.microsoft.com/office/drawing/2014/chart" uri="{C3380CC4-5D6E-409C-BE32-E72D297353CC}">
                <c16:uniqueId val="{00000011-AE3F-40B0-A4FC-CDC28B2EDDF3}"/>
              </c:ext>
            </c:extLst>
          </c:dPt>
          <c:dPt>
            <c:idx val="17"/>
            <c:invertIfNegative val="0"/>
            <c:bubble3D val="0"/>
            <c:spPr>
              <a:solidFill>
                <a:srgbClr val="A25EB5"/>
              </a:solidFill>
              <a:ln>
                <a:noFill/>
              </a:ln>
              <a:effectLst/>
            </c:spPr>
            <c:extLst>
              <c:ext xmlns:c16="http://schemas.microsoft.com/office/drawing/2014/chart" uri="{C3380CC4-5D6E-409C-BE32-E72D297353CC}">
                <c16:uniqueId val="{00000013-AE3F-40B0-A4FC-CDC28B2EDDF3}"/>
              </c:ext>
            </c:extLst>
          </c:dPt>
          <c:cat>
            <c:multiLvlStrRef>
              <c:f>'Quant analysis'!$EB$28:$EC$48</c:f>
              <c:multiLvlStrCache>
                <c:ptCount val="21"/>
                <c:lvl>
                  <c:pt idx="0">
                    <c:v>FY19</c:v>
                  </c:pt>
                  <c:pt idx="1">
                    <c:v>FY20</c:v>
                  </c:pt>
                  <c:pt idx="2">
                    <c:v>FY21</c:v>
                  </c:pt>
                  <c:pt idx="3">
                    <c:v>FY22</c:v>
                  </c:pt>
                  <c:pt idx="4">
                    <c:v>FY23</c:v>
                  </c:pt>
                  <c:pt idx="5">
                    <c:v>FY24</c:v>
                  </c:pt>
                  <c:pt idx="6">
                    <c:v>FY25</c:v>
                  </c:pt>
                  <c:pt idx="7">
                    <c:v>FY19</c:v>
                  </c:pt>
                  <c:pt idx="8">
                    <c:v>FY20</c:v>
                  </c:pt>
                  <c:pt idx="9">
                    <c:v>FY21</c:v>
                  </c:pt>
                  <c:pt idx="10">
                    <c:v>FY22</c:v>
                  </c:pt>
                  <c:pt idx="11">
                    <c:v>FY23</c:v>
                  </c:pt>
                  <c:pt idx="12">
                    <c:v>FY24</c:v>
                  </c:pt>
                  <c:pt idx="13">
                    <c:v>FY25</c:v>
                  </c:pt>
                  <c:pt idx="14">
                    <c:v>FY19</c:v>
                  </c:pt>
                  <c:pt idx="15">
                    <c:v>FY20</c:v>
                  </c:pt>
                  <c:pt idx="16">
                    <c:v>FY21</c:v>
                  </c:pt>
                  <c:pt idx="17">
                    <c:v>FY22</c:v>
                  </c:pt>
                  <c:pt idx="18">
                    <c:v>FY23</c:v>
                  </c:pt>
                  <c:pt idx="19">
                    <c:v>FY24</c:v>
                  </c:pt>
                  <c:pt idx="20">
                    <c:v>FY25</c:v>
                  </c:pt>
                </c:lvl>
                <c:lvl>
                  <c:pt idx="0">
                    <c:v>Structural change (Explicit)</c:v>
                  </c:pt>
                  <c:pt idx="7">
                    <c:v>Relational Change (semi-explicit)</c:v>
                  </c:pt>
                  <c:pt idx="14">
                    <c:v>Transformative change (implicit)</c:v>
                  </c:pt>
                </c:lvl>
              </c:multiLvlStrCache>
            </c:multiLvlStrRef>
          </c:cat>
          <c:val>
            <c:numRef>
              <c:f>'Quant analysis'!$ED$28:$ED$48</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18-AE3F-40B0-A4FC-CDC28B2EDDF3}"/>
            </c:ext>
          </c:extLst>
        </c:ser>
        <c:dLbls>
          <c:showLegendKey val="0"/>
          <c:showVal val="0"/>
          <c:showCatName val="0"/>
          <c:showSerName val="0"/>
          <c:showPercent val="0"/>
          <c:showBubbleSize val="0"/>
        </c:dLbls>
        <c:gapWidth val="36"/>
        <c:overlap val="-27"/>
        <c:axId val="787841919"/>
        <c:axId val="787843359"/>
      </c:barChart>
      <c:catAx>
        <c:axId val="78784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3359"/>
        <c:crosses val="autoZero"/>
        <c:auto val="1"/>
        <c:lblAlgn val="ctr"/>
        <c:lblOffset val="100"/>
        <c:noMultiLvlLbl val="0"/>
      </c:catAx>
      <c:valAx>
        <c:axId val="787843359"/>
        <c:scaling>
          <c:orientation val="minMax"/>
          <c:max val="2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1919"/>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1080" b="1" i="0" u="none" strike="noStrike" kern="1200" spc="0" baseline="0">
                <a:solidFill>
                  <a:sysClr val="windowText" lastClr="000000"/>
                </a:solidFill>
                <a:latin typeface="+mn-lt"/>
                <a:ea typeface="+mn-ea"/>
                <a:cs typeface="+mn-cs"/>
              </a:defRPr>
            </a:pPr>
            <a:r>
              <a:rPr lang="ro-MD"/>
              <a:t>Kenya</a:t>
            </a:r>
            <a:r>
              <a:rPr lang="es-GT"/>
              <a:t> </a:t>
            </a:r>
            <a:r>
              <a:rPr lang="ro-MD"/>
              <a:t>subnational &amp; national level </a:t>
            </a:r>
            <a:r>
              <a:rPr lang="es-GT"/>
              <a:t>outcomes by system change type and level</a:t>
            </a:r>
          </a:p>
        </c:rich>
      </c:tx>
      <c:overlay val="0"/>
      <c:spPr>
        <a:noFill/>
        <a:ln>
          <a:noFill/>
        </a:ln>
        <a:effectLst/>
      </c:spPr>
      <c:txPr>
        <a:bodyPr rot="0" spcFirstLastPara="1" vertOverflow="ellipsis" vert="horz" wrap="square" anchor="ctr" anchorCtr="1"/>
        <a:lstStyle/>
        <a:p>
          <a:pPr>
            <a:defRPr lang="en-US" sz="108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'Quant analysis'!$EN$12</c:f>
              <c:strCache>
                <c:ptCount val="1"/>
                <c:pt idx="0">
                  <c:v>Policies</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analysis'!$EM$13:$EM$15</c:f>
              <c:strCache>
                <c:ptCount val="3"/>
                <c:pt idx="0">
                  <c:v>Structural change (Explicit)</c:v>
                </c:pt>
                <c:pt idx="1">
                  <c:v>Relational Change (semi-explicit)</c:v>
                </c:pt>
                <c:pt idx="2">
                  <c:v>Transformative change (implicit)</c:v>
                </c:pt>
              </c:strCache>
            </c:strRef>
          </c:cat>
          <c:val>
            <c:numRef>
              <c:f>'Quant analysis'!$EN$13:$EN$15</c:f>
              <c:numCache>
                <c:formatCode>General</c:formatCode>
                <c:ptCount val="3"/>
                <c:pt idx="0">
                  <c:v>0</c:v>
                </c:pt>
              </c:numCache>
            </c:numRef>
          </c:val>
          <c:extLst>
            <c:ext xmlns:c16="http://schemas.microsoft.com/office/drawing/2014/chart" uri="{C3380CC4-5D6E-409C-BE32-E72D297353CC}">
              <c16:uniqueId val="{00000000-DA63-431F-BCB4-18FE61742EDF}"/>
            </c:ext>
          </c:extLst>
        </c:ser>
        <c:ser>
          <c:idx val="1"/>
          <c:order val="1"/>
          <c:tx>
            <c:strRef>
              <c:f>'Quant analysis'!$EO$12</c:f>
              <c:strCache>
                <c:ptCount val="1"/>
                <c:pt idx="0">
                  <c:v>Practices</c:v>
                </c:pt>
              </c:strCache>
            </c:strRef>
          </c:tx>
          <c:spPr>
            <a:solidFill>
              <a:srgbClr val="00468B">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analysis'!$EM$13:$EM$15</c:f>
              <c:strCache>
                <c:ptCount val="3"/>
                <c:pt idx="0">
                  <c:v>Structural change (Explicit)</c:v>
                </c:pt>
                <c:pt idx="1">
                  <c:v>Relational Change (semi-explicit)</c:v>
                </c:pt>
                <c:pt idx="2">
                  <c:v>Transformative change (implicit)</c:v>
                </c:pt>
              </c:strCache>
            </c:strRef>
          </c:cat>
          <c:val>
            <c:numRef>
              <c:f>'Quant analysis'!$EO$13:$EO$15</c:f>
              <c:numCache>
                <c:formatCode>General</c:formatCode>
                <c:ptCount val="3"/>
                <c:pt idx="0">
                  <c:v>0</c:v>
                </c:pt>
              </c:numCache>
            </c:numRef>
          </c:val>
          <c:extLst>
            <c:ext xmlns:c16="http://schemas.microsoft.com/office/drawing/2014/chart" uri="{C3380CC4-5D6E-409C-BE32-E72D297353CC}">
              <c16:uniqueId val="{00000001-DA63-431F-BCB4-18FE61742EDF}"/>
            </c:ext>
          </c:extLst>
        </c:ser>
        <c:ser>
          <c:idx val="2"/>
          <c:order val="2"/>
          <c:tx>
            <c:strRef>
              <c:f>'Quant analysis'!$EP$12</c:f>
              <c:strCache>
                <c:ptCount val="1"/>
                <c:pt idx="0">
                  <c:v>Resource Flows</c:v>
                </c:pt>
              </c:strCache>
            </c:strRef>
          </c:tx>
          <c:spPr>
            <a:solidFill>
              <a:srgbClr val="00468B">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analysis'!$EM$13:$EM$15</c:f>
              <c:strCache>
                <c:ptCount val="3"/>
                <c:pt idx="0">
                  <c:v>Structural change (Explicit)</c:v>
                </c:pt>
                <c:pt idx="1">
                  <c:v>Relational Change (semi-explicit)</c:v>
                </c:pt>
                <c:pt idx="2">
                  <c:v>Transformative change (implicit)</c:v>
                </c:pt>
              </c:strCache>
            </c:strRef>
          </c:cat>
          <c:val>
            <c:numRef>
              <c:f>'Quant analysis'!$EP$13:$EP$15</c:f>
              <c:numCache>
                <c:formatCode>General</c:formatCode>
                <c:ptCount val="3"/>
                <c:pt idx="0">
                  <c:v>0</c:v>
                </c:pt>
              </c:numCache>
            </c:numRef>
          </c:val>
          <c:extLst>
            <c:ext xmlns:c16="http://schemas.microsoft.com/office/drawing/2014/chart" uri="{C3380CC4-5D6E-409C-BE32-E72D297353CC}">
              <c16:uniqueId val="{00000002-DA63-431F-BCB4-18FE61742EDF}"/>
            </c:ext>
          </c:extLst>
        </c:ser>
        <c:ser>
          <c:idx val="3"/>
          <c:order val="3"/>
          <c:tx>
            <c:strRef>
              <c:f>'Quant analysis'!$EQ$12</c:f>
              <c:strCache>
                <c:ptCount val="1"/>
                <c:pt idx="0">
                  <c:v>Relationships&amp; Connections</c:v>
                </c:pt>
              </c:strCache>
            </c:strRef>
          </c:tx>
          <c:spPr>
            <a:solidFill>
              <a:srgbClr val="79A02C"/>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0.15388176281784283"/>
                      <c:h val="0.21582488315079842"/>
                    </c:manualLayout>
                  </c15:layout>
                </c:ext>
                <c:ext xmlns:c16="http://schemas.microsoft.com/office/drawing/2014/chart" uri="{C3380CC4-5D6E-409C-BE32-E72D297353CC}">
                  <c16:uniqueId val="{00000013-DA63-431F-BCB4-18FE61742EDF}"/>
                </c:ext>
              </c:extLst>
            </c:dLbl>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analysis'!$EM$13:$EM$15</c:f>
              <c:strCache>
                <c:ptCount val="3"/>
                <c:pt idx="0">
                  <c:v>Structural change (Explicit)</c:v>
                </c:pt>
                <c:pt idx="1">
                  <c:v>Relational Change (semi-explicit)</c:v>
                </c:pt>
                <c:pt idx="2">
                  <c:v>Transformative change (implicit)</c:v>
                </c:pt>
              </c:strCache>
            </c:strRef>
          </c:cat>
          <c:val>
            <c:numRef>
              <c:f>'Quant analysis'!$EQ$13:$EQ$15</c:f>
              <c:numCache>
                <c:formatCode>General</c:formatCode>
                <c:ptCount val="3"/>
                <c:pt idx="1">
                  <c:v>0</c:v>
                </c:pt>
              </c:numCache>
            </c:numRef>
          </c:val>
          <c:extLst>
            <c:ext xmlns:c16="http://schemas.microsoft.com/office/drawing/2014/chart" uri="{C3380CC4-5D6E-409C-BE32-E72D297353CC}">
              <c16:uniqueId val="{00000003-DA63-431F-BCB4-18FE61742EDF}"/>
            </c:ext>
          </c:extLst>
        </c:ser>
        <c:ser>
          <c:idx val="4"/>
          <c:order val="4"/>
          <c:tx>
            <c:strRef>
              <c:f>'Quant analysis'!$ER$12</c:f>
              <c:strCache>
                <c:ptCount val="1"/>
                <c:pt idx="0">
                  <c:v>Power Dynamics</c:v>
                </c:pt>
              </c:strCache>
            </c:strRef>
          </c:tx>
          <c:spPr>
            <a:solidFill>
              <a:srgbClr val="79A02C">
                <a:alpha val="50196"/>
              </a:srgbClr>
            </a:solidFill>
            <a:ln>
              <a:noFill/>
            </a:ln>
            <a:effectLst/>
          </c:spPr>
          <c:invertIfNegative val="0"/>
          <c:dLbls>
            <c:dLbl>
              <c:idx val="1"/>
              <c:layout>
                <c:manualLayout>
                  <c:x val="-1.7751427186513005E-3"/>
                  <c:y val="5.7874467578133719E-3"/>
                </c:manualLayout>
              </c:layout>
              <c:spPr>
                <a:noFill/>
                <a:ln>
                  <a:noFill/>
                </a:ln>
                <a:effectLst/>
              </c:spPr>
              <c:txPr>
                <a:bodyPr rot="0" spcFirstLastPara="1" vertOverflow="ellipsis" vert="horz" wrap="square" lIns="38100" tIns="19050" rIns="38100" bIns="19050" anchor="ctr" anchorCtr="1">
                  <a:noAutofit/>
                </a:bodyPr>
                <a:lstStyle/>
                <a:p>
                  <a:pPr>
                    <a:defRPr lang="en-US" sz="8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0.10330923893263051"/>
                      <c:h val="0.20233921645542918"/>
                    </c:manualLayout>
                  </c15:layout>
                </c:ext>
                <c:ext xmlns:c16="http://schemas.microsoft.com/office/drawing/2014/chart" uri="{C3380CC4-5D6E-409C-BE32-E72D297353CC}">
                  <c16:uniqueId val="{00000004-DA63-431F-BCB4-18FE61742EDF}"/>
                </c:ext>
              </c:extLst>
            </c:dLbl>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analysis'!$EM$13:$EM$15</c:f>
              <c:strCache>
                <c:ptCount val="3"/>
                <c:pt idx="0">
                  <c:v>Structural change (Explicit)</c:v>
                </c:pt>
                <c:pt idx="1">
                  <c:v>Relational Change (semi-explicit)</c:v>
                </c:pt>
                <c:pt idx="2">
                  <c:v>Transformative change (implicit)</c:v>
                </c:pt>
              </c:strCache>
            </c:strRef>
          </c:cat>
          <c:val>
            <c:numRef>
              <c:f>'Quant analysis'!$ER$13:$ER$15</c:f>
              <c:numCache>
                <c:formatCode>General</c:formatCode>
                <c:ptCount val="3"/>
                <c:pt idx="1">
                  <c:v>0</c:v>
                </c:pt>
              </c:numCache>
            </c:numRef>
          </c:val>
          <c:extLst>
            <c:ext xmlns:c16="http://schemas.microsoft.com/office/drawing/2014/chart" uri="{C3380CC4-5D6E-409C-BE32-E72D297353CC}">
              <c16:uniqueId val="{00000005-DA63-431F-BCB4-18FE61742EDF}"/>
            </c:ext>
          </c:extLst>
        </c:ser>
        <c:ser>
          <c:idx val="5"/>
          <c:order val="5"/>
          <c:tx>
            <c:strRef>
              <c:f>'Quant analysis'!$ES$12</c:f>
              <c:strCache>
                <c:ptCount val="1"/>
                <c:pt idx="0">
                  <c:v>Mental Models</c:v>
                </c:pt>
              </c:strCache>
            </c:strRef>
          </c:tx>
          <c:spPr>
            <a:solidFill>
              <a:srgbClr val="A25EB5"/>
            </a:solidFill>
            <a:ln>
              <a:noFill/>
            </a:ln>
            <a:effectLst/>
          </c:spPr>
          <c:invertIfNegative val="0"/>
          <c:dLbls>
            <c:dLbl>
              <c:idx val="2"/>
              <c:spPr>
                <a:noFill/>
                <a:ln>
                  <a:noFill/>
                </a:ln>
                <a:effectLst/>
              </c:spPr>
              <c:txPr>
                <a:bodyPr rot="0" spcFirstLastPara="1" vertOverflow="ellipsis" vert="horz" wrap="square" lIns="38100" tIns="19050" rIns="38100" bIns="19050" anchor="ctr" anchorCtr="1">
                  <a:no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9.2126280079098358E-2"/>
                      <c:h val="0.2544139361608585"/>
                    </c:manualLayout>
                  </c15:layout>
                </c:ext>
                <c:ext xmlns:c16="http://schemas.microsoft.com/office/drawing/2014/chart" uri="{C3380CC4-5D6E-409C-BE32-E72D297353CC}">
                  <c16:uniqueId val="{00000006-DA63-431F-BCB4-18FE61742EDF}"/>
                </c:ext>
              </c:extLst>
            </c:dLbl>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analysis'!$EM$13:$EM$15</c:f>
              <c:strCache>
                <c:ptCount val="3"/>
                <c:pt idx="0">
                  <c:v>Structural change (Explicit)</c:v>
                </c:pt>
                <c:pt idx="1">
                  <c:v>Relational Change (semi-explicit)</c:v>
                </c:pt>
                <c:pt idx="2">
                  <c:v>Transformative change (implicit)</c:v>
                </c:pt>
              </c:strCache>
            </c:strRef>
          </c:cat>
          <c:val>
            <c:numRef>
              <c:f>'Quant analysis'!$ES$13:$ES$15</c:f>
              <c:numCache>
                <c:formatCode>General</c:formatCode>
                <c:ptCount val="3"/>
                <c:pt idx="2">
                  <c:v>0</c:v>
                </c:pt>
              </c:numCache>
            </c:numRef>
          </c:val>
          <c:extLst>
            <c:ext xmlns:c16="http://schemas.microsoft.com/office/drawing/2014/chart" uri="{C3380CC4-5D6E-409C-BE32-E72D297353CC}">
              <c16:uniqueId val="{00000007-DA63-431F-BCB4-18FE61742EDF}"/>
            </c:ext>
          </c:extLst>
        </c:ser>
        <c:dLbls>
          <c:showLegendKey val="0"/>
          <c:showVal val="1"/>
          <c:showCatName val="0"/>
          <c:showSerName val="0"/>
          <c:showPercent val="0"/>
          <c:showBubbleSize val="0"/>
        </c:dLbls>
        <c:gapWidth val="42"/>
        <c:overlap val="100"/>
        <c:axId val="711209279"/>
        <c:axId val="231496239"/>
      </c:barChart>
      <c:catAx>
        <c:axId val="711209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n-US"/>
          </a:p>
        </c:txPr>
        <c:crossAx val="231496239"/>
        <c:crosses val="autoZero"/>
        <c:auto val="1"/>
        <c:lblAlgn val="ctr"/>
        <c:lblOffset val="100"/>
        <c:noMultiLvlLbl val="0"/>
      </c:catAx>
      <c:valAx>
        <c:axId val="231496239"/>
        <c:scaling>
          <c:orientation val="minMax"/>
          <c:max val="100"/>
        </c:scaling>
        <c:delete val="1"/>
        <c:axPos val="t"/>
        <c:numFmt formatCode="General" sourceLinked="1"/>
        <c:majorTickMark val="out"/>
        <c:minorTickMark val="none"/>
        <c:tickLblPos val="nextTo"/>
        <c:crossAx val="71120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1"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r>
              <a:rPr lang="ro-MD" sz="1000" b="1" i="0" u="none" strike="noStrike" kern="1200" spc="0" baseline="0">
                <a:solidFill>
                  <a:sysClr val="windowText" lastClr="000000"/>
                </a:solidFill>
              </a:rPr>
              <a:t>Kenya - </a:t>
            </a:r>
            <a:r>
              <a:rPr lang="es-GT" sz="1000" b="1" i="0" u="none" strike="noStrike" kern="1200" spc="0" baseline="0">
                <a:solidFill>
                  <a:sysClr val="windowText" lastClr="000000"/>
                </a:solidFill>
              </a:rPr>
              <a:t>Three levels of national and subnational system change by years</a:t>
            </a:r>
          </a:p>
        </c:rich>
      </c:tx>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rgbClr val="00468B"/>
            </a:solidFill>
            <a:ln>
              <a:noFill/>
            </a:ln>
            <a:effectLst/>
          </c:spPr>
          <c:invertIfNegative val="0"/>
          <c:dPt>
            <c:idx val="7"/>
            <c:invertIfNegative val="0"/>
            <c:bubble3D val="0"/>
            <c:spPr>
              <a:solidFill>
                <a:srgbClr val="79A02C"/>
              </a:solidFill>
              <a:ln>
                <a:noFill/>
              </a:ln>
              <a:effectLst/>
            </c:spPr>
            <c:extLst>
              <c:ext xmlns:c16="http://schemas.microsoft.com/office/drawing/2014/chart" uri="{C3380CC4-5D6E-409C-BE32-E72D297353CC}">
                <c16:uniqueId val="{00000001-15F3-4F2D-B495-18B469E8D144}"/>
              </c:ext>
            </c:extLst>
          </c:dPt>
          <c:dPt>
            <c:idx val="8"/>
            <c:invertIfNegative val="0"/>
            <c:bubble3D val="0"/>
            <c:spPr>
              <a:solidFill>
                <a:srgbClr val="79A02C"/>
              </a:solidFill>
              <a:ln>
                <a:noFill/>
              </a:ln>
              <a:effectLst/>
            </c:spPr>
            <c:extLst>
              <c:ext xmlns:c16="http://schemas.microsoft.com/office/drawing/2014/chart" uri="{C3380CC4-5D6E-409C-BE32-E72D297353CC}">
                <c16:uniqueId val="{00000003-15F3-4F2D-B495-18B469E8D144}"/>
              </c:ext>
            </c:extLst>
          </c:dPt>
          <c:dPt>
            <c:idx val="9"/>
            <c:invertIfNegative val="0"/>
            <c:bubble3D val="0"/>
            <c:spPr>
              <a:solidFill>
                <a:srgbClr val="79A02C"/>
              </a:solidFill>
              <a:ln>
                <a:noFill/>
              </a:ln>
              <a:effectLst/>
            </c:spPr>
            <c:extLst>
              <c:ext xmlns:c16="http://schemas.microsoft.com/office/drawing/2014/chart" uri="{C3380CC4-5D6E-409C-BE32-E72D297353CC}">
                <c16:uniqueId val="{00000005-15F3-4F2D-B495-18B469E8D144}"/>
              </c:ext>
            </c:extLst>
          </c:dPt>
          <c:dPt>
            <c:idx val="10"/>
            <c:invertIfNegative val="0"/>
            <c:bubble3D val="0"/>
            <c:spPr>
              <a:solidFill>
                <a:srgbClr val="79A02C"/>
              </a:solidFill>
              <a:ln>
                <a:noFill/>
              </a:ln>
              <a:effectLst/>
            </c:spPr>
            <c:extLst>
              <c:ext xmlns:c16="http://schemas.microsoft.com/office/drawing/2014/chart" uri="{C3380CC4-5D6E-409C-BE32-E72D297353CC}">
                <c16:uniqueId val="{00000007-15F3-4F2D-B495-18B469E8D144}"/>
              </c:ext>
            </c:extLst>
          </c:dPt>
          <c:dPt>
            <c:idx val="11"/>
            <c:invertIfNegative val="0"/>
            <c:bubble3D val="0"/>
            <c:spPr>
              <a:solidFill>
                <a:srgbClr val="79A02C"/>
              </a:solidFill>
              <a:ln>
                <a:noFill/>
              </a:ln>
              <a:effectLst/>
            </c:spPr>
            <c:extLst>
              <c:ext xmlns:c16="http://schemas.microsoft.com/office/drawing/2014/chart" uri="{C3380CC4-5D6E-409C-BE32-E72D297353CC}">
                <c16:uniqueId val="{00000009-15F3-4F2D-B495-18B469E8D144}"/>
              </c:ext>
            </c:extLst>
          </c:dPt>
          <c:dPt>
            <c:idx val="12"/>
            <c:invertIfNegative val="0"/>
            <c:bubble3D val="0"/>
            <c:spPr>
              <a:solidFill>
                <a:srgbClr val="79A02C"/>
              </a:solidFill>
              <a:ln>
                <a:noFill/>
              </a:ln>
              <a:effectLst/>
            </c:spPr>
            <c:extLst>
              <c:ext xmlns:c16="http://schemas.microsoft.com/office/drawing/2014/chart" uri="{C3380CC4-5D6E-409C-BE32-E72D297353CC}">
                <c16:uniqueId val="{0000000B-15F3-4F2D-B495-18B469E8D144}"/>
              </c:ext>
            </c:extLst>
          </c:dPt>
          <c:dPt>
            <c:idx val="15"/>
            <c:invertIfNegative val="0"/>
            <c:bubble3D val="0"/>
            <c:spPr>
              <a:solidFill>
                <a:srgbClr val="A25EB5"/>
              </a:solidFill>
              <a:ln>
                <a:noFill/>
              </a:ln>
              <a:effectLst/>
            </c:spPr>
            <c:extLst>
              <c:ext xmlns:c16="http://schemas.microsoft.com/office/drawing/2014/chart" uri="{C3380CC4-5D6E-409C-BE32-E72D297353CC}">
                <c16:uniqueId val="{0000000F-15F3-4F2D-B495-18B469E8D144}"/>
              </c:ext>
            </c:extLst>
          </c:dPt>
          <c:dPt>
            <c:idx val="16"/>
            <c:invertIfNegative val="0"/>
            <c:bubble3D val="0"/>
            <c:spPr>
              <a:solidFill>
                <a:srgbClr val="A25EB5"/>
              </a:solidFill>
              <a:ln>
                <a:noFill/>
              </a:ln>
              <a:effectLst/>
            </c:spPr>
            <c:extLst>
              <c:ext xmlns:c16="http://schemas.microsoft.com/office/drawing/2014/chart" uri="{C3380CC4-5D6E-409C-BE32-E72D297353CC}">
                <c16:uniqueId val="{00000011-15F3-4F2D-B495-18B469E8D144}"/>
              </c:ext>
            </c:extLst>
          </c:dPt>
          <c:dPt>
            <c:idx val="17"/>
            <c:invertIfNegative val="0"/>
            <c:bubble3D val="0"/>
            <c:spPr>
              <a:solidFill>
                <a:srgbClr val="A25EB5"/>
              </a:solidFill>
              <a:ln>
                <a:noFill/>
              </a:ln>
              <a:effectLst/>
            </c:spPr>
            <c:extLst>
              <c:ext xmlns:c16="http://schemas.microsoft.com/office/drawing/2014/chart" uri="{C3380CC4-5D6E-409C-BE32-E72D297353CC}">
                <c16:uniqueId val="{00000013-15F3-4F2D-B495-18B469E8D144}"/>
              </c:ext>
            </c:extLst>
          </c:dPt>
          <c:dPt>
            <c:idx val="19"/>
            <c:invertIfNegative val="0"/>
            <c:bubble3D val="0"/>
            <c:spPr>
              <a:solidFill>
                <a:srgbClr val="A25EB5"/>
              </a:solidFill>
              <a:ln>
                <a:noFill/>
              </a:ln>
              <a:effectLst/>
            </c:spPr>
            <c:extLst>
              <c:ext xmlns:c16="http://schemas.microsoft.com/office/drawing/2014/chart" uri="{C3380CC4-5D6E-409C-BE32-E72D297353CC}">
                <c16:uniqueId val="{00000015-15F3-4F2D-B495-18B469E8D144}"/>
              </c:ext>
            </c:extLst>
          </c:dPt>
          <c:cat>
            <c:multiLvlStrRef>
              <c:f>'Quant analysis'!$EM$28:$EN$48</c:f>
              <c:multiLvlStrCache>
                <c:ptCount val="21"/>
                <c:lvl>
                  <c:pt idx="0">
                    <c:v>FY19</c:v>
                  </c:pt>
                  <c:pt idx="1">
                    <c:v>FY20</c:v>
                  </c:pt>
                  <c:pt idx="2">
                    <c:v>FY21</c:v>
                  </c:pt>
                  <c:pt idx="3">
                    <c:v>FY22</c:v>
                  </c:pt>
                  <c:pt idx="4">
                    <c:v>FY23</c:v>
                  </c:pt>
                  <c:pt idx="5">
                    <c:v>FY24</c:v>
                  </c:pt>
                  <c:pt idx="6">
                    <c:v>FY25</c:v>
                  </c:pt>
                  <c:pt idx="7">
                    <c:v>FY19</c:v>
                  </c:pt>
                  <c:pt idx="8">
                    <c:v>FY20</c:v>
                  </c:pt>
                  <c:pt idx="9">
                    <c:v>FY21</c:v>
                  </c:pt>
                  <c:pt idx="10">
                    <c:v>FY22</c:v>
                  </c:pt>
                  <c:pt idx="11">
                    <c:v>FY23</c:v>
                  </c:pt>
                  <c:pt idx="12">
                    <c:v>FY24</c:v>
                  </c:pt>
                  <c:pt idx="13">
                    <c:v>FY25</c:v>
                  </c:pt>
                  <c:pt idx="14">
                    <c:v>FY19</c:v>
                  </c:pt>
                  <c:pt idx="15">
                    <c:v>FY20</c:v>
                  </c:pt>
                  <c:pt idx="16">
                    <c:v>FY21</c:v>
                  </c:pt>
                  <c:pt idx="17">
                    <c:v>FY22</c:v>
                  </c:pt>
                  <c:pt idx="18">
                    <c:v>FY23</c:v>
                  </c:pt>
                  <c:pt idx="19">
                    <c:v>FY24</c:v>
                  </c:pt>
                  <c:pt idx="20">
                    <c:v>FY25</c:v>
                  </c:pt>
                </c:lvl>
                <c:lvl>
                  <c:pt idx="0">
                    <c:v>Structural change (Explicit)</c:v>
                  </c:pt>
                  <c:pt idx="7">
                    <c:v>Relational Change (semi-explicit)</c:v>
                  </c:pt>
                  <c:pt idx="14">
                    <c:v>Transformative change (implicit)</c:v>
                  </c:pt>
                </c:lvl>
              </c:multiLvlStrCache>
            </c:multiLvlStrRef>
          </c:cat>
          <c:val>
            <c:numRef>
              <c:f>'Quant analysis'!$EO$28:$EO$48</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14-15F3-4F2D-B495-18B469E8D144}"/>
            </c:ext>
          </c:extLst>
        </c:ser>
        <c:dLbls>
          <c:showLegendKey val="0"/>
          <c:showVal val="0"/>
          <c:showCatName val="0"/>
          <c:showSerName val="0"/>
          <c:showPercent val="0"/>
          <c:showBubbleSize val="0"/>
        </c:dLbls>
        <c:gapWidth val="36"/>
        <c:overlap val="-27"/>
        <c:axId val="787841919"/>
        <c:axId val="787843359"/>
      </c:barChart>
      <c:catAx>
        <c:axId val="78784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3359"/>
        <c:crosses val="autoZero"/>
        <c:auto val="1"/>
        <c:lblAlgn val="ctr"/>
        <c:lblOffset val="100"/>
        <c:noMultiLvlLbl val="0"/>
      </c:catAx>
      <c:valAx>
        <c:axId val="787843359"/>
        <c:scaling>
          <c:orientation val="minMax"/>
          <c:max val="30"/>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1919"/>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1080" b="1" i="0" u="none" strike="noStrike" kern="1200" spc="0" baseline="0">
                <a:solidFill>
                  <a:sysClr val="windowText" lastClr="000000"/>
                </a:solidFill>
                <a:latin typeface="+mn-lt"/>
                <a:ea typeface="+mn-ea"/>
                <a:cs typeface="+mn-cs"/>
              </a:defRPr>
            </a:pPr>
            <a:r>
              <a:rPr lang="ro-MD"/>
              <a:t>Moldova</a:t>
            </a:r>
            <a:r>
              <a:rPr lang="es-GT"/>
              <a:t> </a:t>
            </a:r>
            <a:r>
              <a:rPr lang="ro-MD"/>
              <a:t>subnational &amp; national level </a:t>
            </a:r>
            <a:r>
              <a:rPr lang="es-GT"/>
              <a:t>outcomes by system change type and level</a:t>
            </a:r>
          </a:p>
        </c:rich>
      </c:tx>
      <c:overlay val="0"/>
      <c:spPr>
        <a:noFill/>
        <a:ln>
          <a:noFill/>
        </a:ln>
        <a:effectLst/>
      </c:spPr>
      <c:txPr>
        <a:bodyPr rot="0" spcFirstLastPara="1" vertOverflow="ellipsis" vert="horz" wrap="square" anchor="ctr" anchorCtr="1"/>
        <a:lstStyle/>
        <a:p>
          <a:pPr>
            <a:defRPr lang="en-US" sz="108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'Quant analysis'!$EX$12</c:f>
              <c:strCache>
                <c:ptCount val="1"/>
                <c:pt idx="0">
                  <c:v>Policies</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analysis'!$EW$13:$EW$15</c:f>
              <c:strCache>
                <c:ptCount val="3"/>
                <c:pt idx="0">
                  <c:v>Structural change (Explicit)</c:v>
                </c:pt>
                <c:pt idx="1">
                  <c:v>Relational Change (semi-explicit)</c:v>
                </c:pt>
                <c:pt idx="2">
                  <c:v>Transformative change (implicit)</c:v>
                </c:pt>
              </c:strCache>
            </c:strRef>
          </c:cat>
          <c:val>
            <c:numRef>
              <c:f>'Quant analysis'!$EX$13:$EX$15</c:f>
              <c:numCache>
                <c:formatCode>General</c:formatCode>
                <c:ptCount val="3"/>
                <c:pt idx="0">
                  <c:v>0</c:v>
                </c:pt>
              </c:numCache>
            </c:numRef>
          </c:val>
          <c:extLst>
            <c:ext xmlns:c16="http://schemas.microsoft.com/office/drawing/2014/chart" uri="{C3380CC4-5D6E-409C-BE32-E72D297353CC}">
              <c16:uniqueId val="{00000000-39BF-4F04-854E-7CCCED8B57E5}"/>
            </c:ext>
          </c:extLst>
        </c:ser>
        <c:ser>
          <c:idx val="1"/>
          <c:order val="1"/>
          <c:tx>
            <c:strRef>
              <c:f>'Quant analysis'!$EY$12</c:f>
              <c:strCache>
                <c:ptCount val="1"/>
                <c:pt idx="0">
                  <c:v>Practices</c:v>
                </c:pt>
              </c:strCache>
            </c:strRef>
          </c:tx>
          <c:spPr>
            <a:solidFill>
              <a:srgbClr val="00468B">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analysis'!$EW$13:$EW$15</c:f>
              <c:strCache>
                <c:ptCount val="3"/>
                <c:pt idx="0">
                  <c:v>Structural change (Explicit)</c:v>
                </c:pt>
                <c:pt idx="1">
                  <c:v>Relational Change (semi-explicit)</c:v>
                </c:pt>
                <c:pt idx="2">
                  <c:v>Transformative change (implicit)</c:v>
                </c:pt>
              </c:strCache>
            </c:strRef>
          </c:cat>
          <c:val>
            <c:numRef>
              <c:f>'Quant analysis'!$EY$13:$EY$15</c:f>
              <c:numCache>
                <c:formatCode>General</c:formatCode>
                <c:ptCount val="3"/>
                <c:pt idx="0">
                  <c:v>0</c:v>
                </c:pt>
              </c:numCache>
            </c:numRef>
          </c:val>
          <c:extLst>
            <c:ext xmlns:c16="http://schemas.microsoft.com/office/drawing/2014/chart" uri="{C3380CC4-5D6E-409C-BE32-E72D297353CC}">
              <c16:uniqueId val="{00000001-39BF-4F04-854E-7CCCED8B57E5}"/>
            </c:ext>
          </c:extLst>
        </c:ser>
        <c:ser>
          <c:idx val="2"/>
          <c:order val="2"/>
          <c:tx>
            <c:strRef>
              <c:f>'Quant analysis'!$EZ$12</c:f>
              <c:strCache>
                <c:ptCount val="1"/>
                <c:pt idx="0">
                  <c:v>Resource Flows</c:v>
                </c:pt>
              </c:strCache>
            </c:strRef>
          </c:tx>
          <c:spPr>
            <a:solidFill>
              <a:srgbClr val="00468B">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analysis'!$EW$13:$EW$15</c:f>
              <c:strCache>
                <c:ptCount val="3"/>
                <c:pt idx="0">
                  <c:v>Structural change (Explicit)</c:v>
                </c:pt>
                <c:pt idx="1">
                  <c:v>Relational Change (semi-explicit)</c:v>
                </c:pt>
                <c:pt idx="2">
                  <c:v>Transformative change (implicit)</c:v>
                </c:pt>
              </c:strCache>
            </c:strRef>
          </c:cat>
          <c:val>
            <c:numRef>
              <c:f>'Quant analysis'!$EZ$13:$EZ$15</c:f>
              <c:numCache>
                <c:formatCode>General</c:formatCode>
                <c:ptCount val="3"/>
                <c:pt idx="0">
                  <c:v>0</c:v>
                </c:pt>
              </c:numCache>
            </c:numRef>
          </c:val>
          <c:extLst>
            <c:ext xmlns:c16="http://schemas.microsoft.com/office/drawing/2014/chart" uri="{C3380CC4-5D6E-409C-BE32-E72D297353CC}">
              <c16:uniqueId val="{00000002-39BF-4F04-854E-7CCCED8B57E5}"/>
            </c:ext>
          </c:extLst>
        </c:ser>
        <c:ser>
          <c:idx val="3"/>
          <c:order val="3"/>
          <c:tx>
            <c:strRef>
              <c:f>'Quant analysis'!$FA$12</c:f>
              <c:strCache>
                <c:ptCount val="1"/>
                <c:pt idx="0">
                  <c:v>Relationships&amp; Connections</c:v>
                </c:pt>
              </c:strCache>
            </c:strRef>
          </c:tx>
          <c:spPr>
            <a:solidFill>
              <a:srgbClr val="79A0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analysis'!$EW$13:$EW$15</c:f>
              <c:strCache>
                <c:ptCount val="3"/>
                <c:pt idx="0">
                  <c:v>Structural change (Explicit)</c:v>
                </c:pt>
                <c:pt idx="1">
                  <c:v>Relational Change (semi-explicit)</c:v>
                </c:pt>
                <c:pt idx="2">
                  <c:v>Transformative change (implicit)</c:v>
                </c:pt>
              </c:strCache>
            </c:strRef>
          </c:cat>
          <c:val>
            <c:numRef>
              <c:f>'Quant analysis'!$FA$13:$FA$15</c:f>
              <c:numCache>
                <c:formatCode>General</c:formatCode>
                <c:ptCount val="3"/>
                <c:pt idx="1">
                  <c:v>0</c:v>
                </c:pt>
              </c:numCache>
            </c:numRef>
          </c:val>
          <c:extLst>
            <c:ext xmlns:c16="http://schemas.microsoft.com/office/drawing/2014/chart" uri="{C3380CC4-5D6E-409C-BE32-E72D297353CC}">
              <c16:uniqueId val="{00000004-39BF-4F04-854E-7CCCED8B57E5}"/>
            </c:ext>
          </c:extLst>
        </c:ser>
        <c:ser>
          <c:idx val="4"/>
          <c:order val="4"/>
          <c:tx>
            <c:strRef>
              <c:f>'Quant analysis'!$FB$12</c:f>
              <c:strCache>
                <c:ptCount val="1"/>
                <c:pt idx="0">
                  <c:v>Power Dynamics</c:v>
                </c:pt>
              </c:strCache>
            </c:strRef>
          </c:tx>
          <c:spPr>
            <a:solidFill>
              <a:srgbClr val="79A02C">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analysis'!$EW$13:$EW$15</c:f>
              <c:strCache>
                <c:ptCount val="3"/>
                <c:pt idx="0">
                  <c:v>Structural change (Explicit)</c:v>
                </c:pt>
                <c:pt idx="1">
                  <c:v>Relational Change (semi-explicit)</c:v>
                </c:pt>
                <c:pt idx="2">
                  <c:v>Transformative change (implicit)</c:v>
                </c:pt>
              </c:strCache>
            </c:strRef>
          </c:cat>
          <c:val>
            <c:numRef>
              <c:f>'Quant analysis'!$FB$13:$FB$15</c:f>
              <c:numCache>
                <c:formatCode>General</c:formatCode>
                <c:ptCount val="3"/>
                <c:pt idx="1">
                  <c:v>0</c:v>
                </c:pt>
              </c:numCache>
            </c:numRef>
          </c:val>
          <c:extLst>
            <c:ext xmlns:c16="http://schemas.microsoft.com/office/drawing/2014/chart" uri="{C3380CC4-5D6E-409C-BE32-E72D297353CC}">
              <c16:uniqueId val="{00000006-39BF-4F04-854E-7CCCED8B57E5}"/>
            </c:ext>
          </c:extLst>
        </c:ser>
        <c:ser>
          <c:idx val="5"/>
          <c:order val="5"/>
          <c:tx>
            <c:strRef>
              <c:f>'Quant analysis'!$FC$12</c:f>
              <c:strCache>
                <c:ptCount val="1"/>
                <c:pt idx="0">
                  <c:v>Mental Models</c:v>
                </c:pt>
              </c:strCache>
            </c:strRef>
          </c:tx>
          <c:spPr>
            <a:solidFill>
              <a:srgbClr val="A25E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 analysis'!$EW$13:$EW$15</c:f>
              <c:strCache>
                <c:ptCount val="3"/>
                <c:pt idx="0">
                  <c:v>Structural change (Explicit)</c:v>
                </c:pt>
                <c:pt idx="1">
                  <c:v>Relational Change (semi-explicit)</c:v>
                </c:pt>
                <c:pt idx="2">
                  <c:v>Transformative change (implicit)</c:v>
                </c:pt>
              </c:strCache>
            </c:strRef>
          </c:cat>
          <c:val>
            <c:numRef>
              <c:f>'Quant analysis'!$FC$13:$FC$15</c:f>
              <c:numCache>
                <c:formatCode>General</c:formatCode>
                <c:ptCount val="3"/>
                <c:pt idx="2">
                  <c:v>0</c:v>
                </c:pt>
              </c:numCache>
            </c:numRef>
          </c:val>
          <c:extLst>
            <c:ext xmlns:c16="http://schemas.microsoft.com/office/drawing/2014/chart" uri="{C3380CC4-5D6E-409C-BE32-E72D297353CC}">
              <c16:uniqueId val="{00000008-39BF-4F04-854E-7CCCED8B57E5}"/>
            </c:ext>
          </c:extLst>
        </c:ser>
        <c:dLbls>
          <c:showLegendKey val="0"/>
          <c:showVal val="1"/>
          <c:showCatName val="0"/>
          <c:showSerName val="0"/>
          <c:showPercent val="0"/>
          <c:showBubbleSize val="0"/>
        </c:dLbls>
        <c:gapWidth val="42"/>
        <c:overlap val="100"/>
        <c:axId val="711209279"/>
        <c:axId val="231496239"/>
      </c:barChart>
      <c:catAx>
        <c:axId val="711209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n-US"/>
          </a:p>
        </c:txPr>
        <c:crossAx val="231496239"/>
        <c:crosses val="autoZero"/>
        <c:auto val="1"/>
        <c:lblAlgn val="ctr"/>
        <c:lblOffset val="100"/>
        <c:noMultiLvlLbl val="0"/>
      </c:catAx>
      <c:valAx>
        <c:axId val="231496239"/>
        <c:scaling>
          <c:orientation val="minMax"/>
          <c:max val="50"/>
        </c:scaling>
        <c:delete val="1"/>
        <c:axPos val="t"/>
        <c:numFmt formatCode="General" sourceLinked="1"/>
        <c:majorTickMark val="out"/>
        <c:minorTickMark val="none"/>
        <c:tickLblPos val="nextTo"/>
        <c:crossAx val="71120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1"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r>
              <a:rPr lang="ro-MD" sz="1000" b="1" i="0" u="none" strike="noStrike" kern="1200" spc="0" baseline="0">
                <a:solidFill>
                  <a:sysClr val="windowText" lastClr="000000"/>
                </a:solidFill>
              </a:rPr>
              <a:t>Moldova - </a:t>
            </a:r>
            <a:r>
              <a:rPr lang="es-GT" sz="1000" b="1" i="0" u="none" strike="noStrike" kern="1200" spc="0" baseline="0">
                <a:solidFill>
                  <a:sysClr val="windowText" lastClr="000000"/>
                </a:solidFill>
              </a:rPr>
              <a:t>Three levels of national and subnational system change by years</a:t>
            </a:r>
          </a:p>
        </c:rich>
      </c:tx>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rgbClr val="00468B"/>
            </a:solidFill>
            <a:ln>
              <a:noFill/>
            </a:ln>
            <a:effectLst/>
          </c:spPr>
          <c:invertIfNegative val="0"/>
          <c:dPt>
            <c:idx val="9"/>
            <c:invertIfNegative val="0"/>
            <c:bubble3D val="0"/>
            <c:spPr>
              <a:solidFill>
                <a:srgbClr val="79A02C"/>
              </a:solidFill>
              <a:ln>
                <a:noFill/>
              </a:ln>
              <a:effectLst/>
            </c:spPr>
            <c:extLst>
              <c:ext xmlns:c16="http://schemas.microsoft.com/office/drawing/2014/chart" uri="{C3380CC4-5D6E-409C-BE32-E72D297353CC}">
                <c16:uniqueId val="{00000005-BFDF-461F-8D6A-E940E8B55DF4}"/>
              </c:ext>
            </c:extLst>
          </c:dPt>
          <c:dPt>
            <c:idx val="10"/>
            <c:invertIfNegative val="0"/>
            <c:bubble3D val="0"/>
            <c:spPr>
              <a:solidFill>
                <a:srgbClr val="79A02C"/>
              </a:solidFill>
              <a:ln>
                <a:noFill/>
              </a:ln>
              <a:effectLst/>
            </c:spPr>
            <c:extLst>
              <c:ext xmlns:c16="http://schemas.microsoft.com/office/drawing/2014/chart" uri="{C3380CC4-5D6E-409C-BE32-E72D297353CC}">
                <c16:uniqueId val="{00000007-BFDF-461F-8D6A-E940E8B55DF4}"/>
              </c:ext>
            </c:extLst>
          </c:dPt>
          <c:dPt>
            <c:idx val="11"/>
            <c:invertIfNegative val="0"/>
            <c:bubble3D val="0"/>
            <c:spPr>
              <a:solidFill>
                <a:srgbClr val="79A02C"/>
              </a:solidFill>
              <a:ln>
                <a:noFill/>
              </a:ln>
              <a:effectLst/>
            </c:spPr>
            <c:extLst>
              <c:ext xmlns:c16="http://schemas.microsoft.com/office/drawing/2014/chart" uri="{C3380CC4-5D6E-409C-BE32-E72D297353CC}">
                <c16:uniqueId val="{00000009-BFDF-461F-8D6A-E940E8B55DF4}"/>
              </c:ext>
            </c:extLst>
          </c:dPt>
          <c:dPt>
            <c:idx val="12"/>
            <c:invertIfNegative val="0"/>
            <c:bubble3D val="0"/>
            <c:spPr>
              <a:solidFill>
                <a:srgbClr val="79A02C"/>
              </a:solidFill>
              <a:ln>
                <a:noFill/>
              </a:ln>
              <a:effectLst/>
            </c:spPr>
            <c:extLst>
              <c:ext xmlns:c16="http://schemas.microsoft.com/office/drawing/2014/chart" uri="{C3380CC4-5D6E-409C-BE32-E72D297353CC}">
                <c16:uniqueId val="{0000000B-BFDF-461F-8D6A-E940E8B55DF4}"/>
              </c:ext>
            </c:extLst>
          </c:dPt>
          <c:dPt>
            <c:idx val="16"/>
            <c:invertIfNegative val="0"/>
            <c:bubble3D val="0"/>
            <c:spPr>
              <a:solidFill>
                <a:srgbClr val="A25EB5"/>
              </a:solidFill>
              <a:ln>
                <a:noFill/>
              </a:ln>
              <a:effectLst/>
            </c:spPr>
            <c:extLst>
              <c:ext xmlns:c16="http://schemas.microsoft.com/office/drawing/2014/chart" uri="{C3380CC4-5D6E-409C-BE32-E72D297353CC}">
                <c16:uniqueId val="{0000000F-BFDF-461F-8D6A-E940E8B55DF4}"/>
              </c:ext>
            </c:extLst>
          </c:dPt>
          <c:dPt>
            <c:idx val="17"/>
            <c:invertIfNegative val="0"/>
            <c:bubble3D val="0"/>
            <c:spPr>
              <a:solidFill>
                <a:srgbClr val="A25EB5"/>
              </a:solidFill>
              <a:ln>
                <a:noFill/>
              </a:ln>
              <a:effectLst/>
            </c:spPr>
            <c:extLst>
              <c:ext xmlns:c16="http://schemas.microsoft.com/office/drawing/2014/chart" uri="{C3380CC4-5D6E-409C-BE32-E72D297353CC}">
                <c16:uniqueId val="{00000011-BFDF-461F-8D6A-E940E8B55DF4}"/>
              </c:ext>
            </c:extLst>
          </c:dPt>
          <c:dPt>
            <c:idx val="18"/>
            <c:invertIfNegative val="0"/>
            <c:bubble3D val="0"/>
            <c:spPr>
              <a:solidFill>
                <a:srgbClr val="A25EB5"/>
              </a:solidFill>
              <a:ln>
                <a:noFill/>
              </a:ln>
              <a:effectLst/>
            </c:spPr>
            <c:extLst>
              <c:ext xmlns:c16="http://schemas.microsoft.com/office/drawing/2014/chart" uri="{C3380CC4-5D6E-409C-BE32-E72D297353CC}">
                <c16:uniqueId val="{00000015-BFDF-461F-8D6A-E940E8B55DF4}"/>
              </c:ext>
            </c:extLst>
          </c:dPt>
          <c:dPt>
            <c:idx val="19"/>
            <c:invertIfNegative val="0"/>
            <c:bubble3D val="0"/>
            <c:spPr>
              <a:solidFill>
                <a:srgbClr val="A25EB5"/>
              </a:solidFill>
              <a:ln>
                <a:noFill/>
              </a:ln>
              <a:effectLst/>
            </c:spPr>
            <c:extLst>
              <c:ext xmlns:c16="http://schemas.microsoft.com/office/drawing/2014/chart" uri="{C3380CC4-5D6E-409C-BE32-E72D297353CC}">
                <c16:uniqueId val="{00000013-BFDF-461F-8D6A-E940E8B55DF4}"/>
              </c:ext>
            </c:extLst>
          </c:dPt>
          <c:cat>
            <c:multiLvlStrRef>
              <c:f>'Quant analysis'!$EW$28:$EX$48</c:f>
              <c:multiLvlStrCache>
                <c:ptCount val="21"/>
                <c:lvl>
                  <c:pt idx="0">
                    <c:v>FY19</c:v>
                  </c:pt>
                  <c:pt idx="1">
                    <c:v>FY20</c:v>
                  </c:pt>
                  <c:pt idx="2">
                    <c:v>FY21</c:v>
                  </c:pt>
                  <c:pt idx="3">
                    <c:v>FY22</c:v>
                  </c:pt>
                  <c:pt idx="4">
                    <c:v>FY23</c:v>
                  </c:pt>
                  <c:pt idx="5">
                    <c:v>FY24</c:v>
                  </c:pt>
                  <c:pt idx="6">
                    <c:v>FY25</c:v>
                  </c:pt>
                  <c:pt idx="7">
                    <c:v>FY19</c:v>
                  </c:pt>
                  <c:pt idx="8">
                    <c:v>FY20</c:v>
                  </c:pt>
                  <c:pt idx="9">
                    <c:v>FY21</c:v>
                  </c:pt>
                  <c:pt idx="10">
                    <c:v>FY22</c:v>
                  </c:pt>
                  <c:pt idx="11">
                    <c:v>FY23</c:v>
                  </c:pt>
                  <c:pt idx="12">
                    <c:v>FY24</c:v>
                  </c:pt>
                  <c:pt idx="13">
                    <c:v>FY25</c:v>
                  </c:pt>
                  <c:pt idx="14">
                    <c:v>FY19</c:v>
                  </c:pt>
                  <c:pt idx="15">
                    <c:v>FY20</c:v>
                  </c:pt>
                  <c:pt idx="16">
                    <c:v>FY21</c:v>
                  </c:pt>
                  <c:pt idx="17">
                    <c:v>FY22</c:v>
                  </c:pt>
                  <c:pt idx="18">
                    <c:v>FY23</c:v>
                  </c:pt>
                  <c:pt idx="19">
                    <c:v>FY24</c:v>
                  </c:pt>
                  <c:pt idx="20">
                    <c:v>FY25</c:v>
                  </c:pt>
                </c:lvl>
                <c:lvl>
                  <c:pt idx="0">
                    <c:v>Structural change (Explicit)</c:v>
                  </c:pt>
                  <c:pt idx="7">
                    <c:v>Relational Change (semi-explicit)</c:v>
                  </c:pt>
                  <c:pt idx="14">
                    <c:v>Transformative change (implicit)</c:v>
                  </c:pt>
                </c:lvl>
              </c:multiLvlStrCache>
            </c:multiLvlStrRef>
          </c:cat>
          <c:val>
            <c:numRef>
              <c:f>'Quant analysis'!$EY$28:$EY$48</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14-BFDF-461F-8D6A-E940E8B55DF4}"/>
            </c:ext>
          </c:extLst>
        </c:ser>
        <c:dLbls>
          <c:showLegendKey val="0"/>
          <c:showVal val="0"/>
          <c:showCatName val="0"/>
          <c:showSerName val="0"/>
          <c:showPercent val="0"/>
          <c:showBubbleSize val="0"/>
        </c:dLbls>
        <c:gapWidth val="36"/>
        <c:overlap val="-27"/>
        <c:axId val="787841919"/>
        <c:axId val="787843359"/>
      </c:barChart>
      <c:catAx>
        <c:axId val="78784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3359"/>
        <c:crosses val="autoZero"/>
        <c:auto val="1"/>
        <c:lblAlgn val="ctr"/>
        <c:lblOffset val="100"/>
        <c:noMultiLvlLbl val="0"/>
      </c:catAx>
      <c:valAx>
        <c:axId val="787843359"/>
        <c:scaling>
          <c:orientation val="minMax"/>
          <c:max val="25"/>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87841919"/>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Have</a:t>
            </a:r>
            <a:r>
              <a:rPr lang="en-GB" baseline="0"/>
              <a:t> the outcomes been finalized?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468B"/>
              </a:solidFill>
              <a:ln w="19050">
                <a:solidFill>
                  <a:schemeClr val="lt1"/>
                </a:solidFill>
              </a:ln>
              <a:effectLst/>
            </c:spPr>
            <c:extLst>
              <c:ext xmlns:c16="http://schemas.microsoft.com/office/drawing/2014/chart" uri="{C3380CC4-5D6E-409C-BE32-E72D297353CC}">
                <c16:uniqueId val="{00000001-BE10-4D91-9429-1363FB68EDC2}"/>
              </c:ext>
            </c:extLst>
          </c:dPt>
          <c:dPt>
            <c:idx val="1"/>
            <c:bubble3D val="0"/>
            <c:spPr>
              <a:solidFill>
                <a:srgbClr val="A25EB5"/>
              </a:solidFill>
              <a:ln w="19050">
                <a:solidFill>
                  <a:schemeClr val="lt1"/>
                </a:solidFill>
              </a:ln>
              <a:effectLst/>
            </c:spPr>
            <c:extLst>
              <c:ext xmlns:c16="http://schemas.microsoft.com/office/drawing/2014/chart" uri="{C3380CC4-5D6E-409C-BE32-E72D297353CC}">
                <c16:uniqueId val="{00000003-BE10-4D91-9429-1363FB68EDC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'Quant analysis'!$D$2:$D$4</c15:sqref>
                  </c15:fullRef>
                </c:ext>
              </c:extLst>
              <c:f>'Quant analysis'!$D$2:$D$3</c:f>
              <c:strCache>
                <c:ptCount val="2"/>
                <c:pt idx="0">
                  <c:v>Yes</c:v>
                </c:pt>
                <c:pt idx="1">
                  <c:v>No</c:v>
                </c:pt>
              </c:strCache>
            </c:strRef>
          </c:cat>
          <c:val>
            <c:numRef>
              <c:extLst>
                <c:ext xmlns:c15="http://schemas.microsoft.com/office/drawing/2012/chart" uri="{02D57815-91ED-43cb-92C2-25804820EDAC}">
                  <c15:fullRef>
                    <c15:sqref>'Quant analysis'!$F$2:$F$4</c15:sqref>
                  </c15:fullRef>
                </c:ext>
              </c:extLst>
              <c:f>'Quant analysis'!$F$2:$F$3</c:f>
              <c:numCache>
                <c:formatCode>General</c:formatCode>
                <c:ptCount val="2"/>
                <c:pt idx="0">
                  <c:v>0</c:v>
                </c:pt>
                <c:pt idx="1">
                  <c:v>0</c:v>
                </c:pt>
              </c:numCache>
            </c:numRef>
          </c:val>
          <c:extLst>
            <c:ext xmlns:c15="http://schemas.microsoft.com/office/drawing/2012/chart" uri="{02D57815-91ED-43cb-92C2-25804820EDAC}">
              <c15:categoryFilterExceptions>
                <c15:categoryFilterException>
                  <c15:sqref>'Quant analysis'!$F$4</c15:sqref>
                  <c15:spPr xmlns:c15="http://schemas.microsoft.com/office/drawing/2012/chart">
                    <a:solidFill>
                      <a:schemeClr val="accent3"/>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BE10-4D91-9429-1363FB68EDC2}"/>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00468B"/>
              </a:solidFill>
              <a:round/>
            </a:ln>
            <a:effectLst/>
          </c:spPr>
          <c:marker>
            <c:symbol val="none"/>
          </c:marker>
          <c:cat>
            <c:multiLvlStrRef>
              <c:f>'Quant analysis'!$R$2:$S$29</c:f>
              <c:multiLvlStrCache>
                <c:ptCount val="28"/>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lvl>
                <c:lvl>
                  <c:pt idx="0">
                    <c:v>FY19</c:v>
                  </c:pt>
                  <c:pt idx="4">
                    <c:v>FY20</c:v>
                  </c:pt>
                  <c:pt idx="8">
                    <c:v>FY21</c:v>
                  </c:pt>
                  <c:pt idx="12">
                    <c:v>FY22</c:v>
                  </c:pt>
                  <c:pt idx="16">
                    <c:v>FY23</c:v>
                  </c:pt>
                  <c:pt idx="20">
                    <c:v>FY24</c:v>
                  </c:pt>
                  <c:pt idx="24">
                    <c:v>FY25</c:v>
                  </c:pt>
                </c:lvl>
              </c:multiLvlStrCache>
            </c:multiLvlStrRef>
          </c:cat>
          <c:val>
            <c:numRef>
              <c:f>'Quant analysis'!$V$2:$V$29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D10F-4A95-940F-7193D5227079}"/>
            </c:ext>
          </c:extLst>
        </c:ser>
        <c:dLbls>
          <c:showLegendKey val="0"/>
          <c:showVal val="0"/>
          <c:showCatName val="0"/>
          <c:showSerName val="0"/>
          <c:showPercent val="0"/>
          <c:showBubbleSize val="0"/>
        </c:dLbls>
        <c:smooth val="0"/>
        <c:axId val="44774496"/>
        <c:axId val="44775744"/>
      </c:lineChart>
      <c:catAx>
        <c:axId val="4477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4775744"/>
        <c:crosses val="autoZero"/>
        <c:auto val="1"/>
        <c:lblAlgn val="ctr"/>
        <c:lblOffset val="100"/>
        <c:noMultiLvlLbl val="0"/>
      </c:catAx>
      <c:valAx>
        <c:axId val="447757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744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of social actor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'Quant analysis'!$AG$2:$AG$14</c15:sqref>
                  </c15:fullRef>
                </c:ext>
              </c:extLst>
              <c:f>('Quant analysis'!$AG$2:$AG$6,'Quant analysis'!$AG$14)</c:f>
              <c:strCache>
                <c:ptCount val="6"/>
                <c:pt idx="0">
                  <c:v>Government actor in demonstration country  </c:v>
                </c:pt>
                <c:pt idx="1">
                  <c:v>Faith-Based actor in demonstration country </c:v>
                </c:pt>
                <c:pt idx="2">
                  <c:v>Civil Society actor in demonstration country </c:v>
                </c:pt>
                <c:pt idx="3">
                  <c:v>Residential Care actor in demonstration country</c:v>
                </c:pt>
                <c:pt idx="4">
                  <c:v>PWLE network in demonstration country</c:v>
                </c:pt>
                <c:pt idx="5">
                  <c:v>Other</c:v>
                </c:pt>
              </c:strCache>
            </c:strRef>
          </c:cat>
          <c:val>
            <c:numRef>
              <c:extLst>
                <c:ext xmlns:c15="http://schemas.microsoft.com/office/drawing/2012/chart" uri="{02D57815-91ED-43cb-92C2-25804820EDAC}">
                  <c15:fullRef>
                    <c15:sqref>'Quant analysis'!$AI$2:$AI$14</c15:sqref>
                  </c15:fullRef>
                </c:ext>
              </c:extLst>
              <c:f>('Quant analysis'!$AI$2:$AI$6,'Quant analysis'!$AI$14)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956-420F-80C0-E06681B80050}"/>
            </c:ext>
          </c:extLst>
        </c:ser>
        <c:dLbls>
          <c:showLegendKey val="0"/>
          <c:showVal val="0"/>
          <c:showCatName val="0"/>
          <c:showSerName val="0"/>
          <c:showPercent val="0"/>
          <c:showBubbleSize val="0"/>
        </c:dLbls>
        <c:gapWidth val="182"/>
        <c:axId val="433279696"/>
        <c:axId val="122534976"/>
      </c:barChart>
      <c:valAx>
        <c:axId val="122534976"/>
        <c:scaling>
          <c:orientation val="minMax"/>
        </c:scaling>
        <c:delete val="1"/>
        <c:axPos val="t"/>
        <c:numFmt formatCode="General" sourceLinked="1"/>
        <c:majorTickMark val="none"/>
        <c:minorTickMark val="none"/>
        <c:tickLblPos val="nextTo"/>
        <c:crossAx val="433279696"/>
        <c:crosses val="autoZero"/>
        <c:crossBetween val="between"/>
        <c:majorUnit val="5"/>
      </c:valAx>
      <c:catAx>
        <c:axId val="43327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4976"/>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withinLinear" id="16">
  <a:schemeClr val="accent3"/>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17.xml><?xml version="1.0" encoding="utf-8"?>
<cs:colorStyle xmlns:cs="http://schemas.microsoft.com/office/drawing/2012/chartStyle" xmlns:a="http://schemas.openxmlformats.org/drawingml/2006/main" meth="withinLinear" id="19">
  <a:schemeClr val="accent6"/>
</cs:colorStyle>
</file>

<file path=xl/charts/colors18.xml><?xml version="1.0" encoding="utf-8"?>
<cs:colorStyle xmlns:cs="http://schemas.microsoft.com/office/drawing/2012/chartStyle" xmlns:a="http://schemas.openxmlformats.org/drawingml/2006/main" meth="withinLinear" id="19">
  <a:schemeClr val="accent6"/>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 id="15">
  <a:schemeClr val="accent2"/>
</cs:colorStyle>
</file>

<file path=xl/charts/colors21.xml><?xml version="1.0" encoding="utf-8"?>
<cs:colorStyle xmlns:cs="http://schemas.microsoft.com/office/drawing/2012/chartStyle" xmlns:a="http://schemas.openxmlformats.org/drawingml/2006/main" meth="withinLinear" id="15">
  <a:schemeClr val="accent2"/>
</cs:colorStyle>
</file>

<file path=xl/charts/colors22.xml><?xml version="1.0" encoding="utf-8"?>
<cs:colorStyle xmlns:cs="http://schemas.microsoft.com/office/drawing/2012/chartStyle" xmlns:a="http://schemas.openxmlformats.org/drawingml/2006/main" meth="withinLinear" id="15">
  <a:schemeClr val="accent2"/>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withinLinear" id="14">
  <a:schemeClr val="accent1"/>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withinLinear" id="16">
  <a:schemeClr val="accent3"/>
</cs:colorStyle>
</file>

<file path=xl/charts/colors35.xml><?xml version="1.0" encoding="utf-8"?>
<cs:colorStyle xmlns:cs="http://schemas.microsoft.com/office/drawing/2012/chartStyle" xmlns:a="http://schemas.openxmlformats.org/drawingml/2006/main" meth="withinLinear" id="16">
  <a:schemeClr val="accent3"/>
</cs:colorStyle>
</file>

<file path=xl/charts/colors36.xml><?xml version="1.0" encoding="utf-8"?>
<cs:colorStyle xmlns:cs="http://schemas.microsoft.com/office/drawing/2012/chartStyle" xmlns:a="http://schemas.openxmlformats.org/drawingml/2006/main" meth="withinLinear" id="16">
  <a:schemeClr val="accent3"/>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withinLinear" id="17">
  <a:schemeClr val="accent4"/>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withinLinear" id="18">
  <a:schemeClr val="accent5"/>
</cs:colorStyle>
</file>

<file path=xl/charts/colors45.xml><?xml version="1.0" encoding="utf-8"?>
<cs:colorStyle xmlns:cs="http://schemas.microsoft.com/office/drawing/2012/chartStyle" xmlns:a="http://schemas.openxmlformats.org/drawingml/2006/main" meth="withinLinear" id="18">
  <a:schemeClr val="accent5"/>
</cs:colorStyle>
</file>

<file path=xl/charts/colors46.xml><?xml version="1.0" encoding="utf-8"?>
<cs:colorStyle xmlns:cs="http://schemas.microsoft.com/office/drawing/2012/chartStyle" xmlns:a="http://schemas.openxmlformats.org/drawingml/2006/main" meth="withinLinear" id="18">
  <a:schemeClr val="accent5"/>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50.xml><?xml version="1.0" encoding="utf-8"?>
<cs:colorStyle xmlns:cs="http://schemas.microsoft.com/office/drawing/2012/chartStyle" xmlns:a="http://schemas.openxmlformats.org/drawingml/2006/main" meth="withinLinear" id="17">
  <a:schemeClr val="accent4"/>
</cs:colorStyle>
</file>

<file path=xl/charts/colors51.xml><?xml version="1.0" encoding="utf-8"?>
<cs:colorStyle xmlns:cs="http://schemas.microsoft.com/office/drawing/2012/chartStyle" xmlns:a="http://schemas.openxmlformats.org/drawingml/2006/main" meth="withinLinear" id="17">
  <a:schemeClr val="accent4"/>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5" Type="http://schemas.openxmlformats.org/officeDocument/2006/relationships/chart" Target="../charts/chart5.xml"/><Relationship Id="rId61" Type="http://schemas.openxmlformats.org/officeDocument/2006/relationships/chart" Target="../charts/chart61.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2</xdr:col>
      <xdr:colOff>57667</xdr:colOff>
      <xdr:row>1</xdr:row>
      <xdr:rowOff>31750</xdr:rowOff>
    </xdr:from>
    <xdr:to>
      <xdr:col>7</xdr:col>
      <xdr:colOff>260867</xdr:colOff>
      <xdr:row>15</xdr:row>
      <xdr:rowOff>19050</xdr:rowOff>
    </xdr:to>
    <xdr:graphicFrame macro="">
      <xdr:nvGraphicFramePr>
        <xdr:cNvPr id="24" name="Chart 1">
          <a:extLst>
            <a:ext uri="{FF2B5EF4-FFF2-40B4-BE49-F238E27FC236}">
              <a16:creationId xmlns:a16="http://schemas.microsoft.com/office/drawing/2014/main" id="{C7052F7C-4FB7-4B49-BF5C-3C0E26936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305318</xdr:colOff>
      <xdr:row>1</xdr:row>
      <xdr:rowOff>31751</xdr:rowOff>
    </xdr:from>
    <xdr:to>
      <xdr:col>11</xdr:col>
      <xdr:colOff>489808</xdr:colOff>
      <xdr:row>15</xdr:row>
      <xdr:rowOff>19051</xdr:rowOff>
    </xdr:to>
    <xdr:graphicFrame macro="">
      <xdr:nvGraphicFramePr>
        <xdr:cNvPr id="23" name="Chart 2">
          <a:extLst>
            <a:ext uri="{FF2B5EF4-FFF2-40B4-BE49-F238E27FC236}">
              <a16:creationId xmlns:a16="http://schemas.microsoft.com/office/drawing/2014/main" id="{3B20D426-6DDE-44F3-80F0-D2F41F130407}"/>
            </a:ext>
            <a:ext uri="{147F2762-F138-4A5C-976F-8EAC2B608ADB}">
              <a16:predDERef xmlns:a16="http://schemas.microsoft.com/office/drawing/2014/main" pred="{C7052F7C-4FB7-4B49-BF5C-3C0E26936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532751</xdr:colOff>
      <xdr:row>1</xdr:row>
      <xdr:rowOff>31750</xdr:rowOff>
    </xdr:from>
    <xdr:to>
      <xdr:col>20</xdr:col>
      <xdr:colOff>296250</xdr:colOff>
      <xdr:row>15</xdr:row>
      <xdr:rowOff>19050</xdr:rowOff>
    </xdr:to>
    <xdr:graphicFrame macro="">
      <xdr:nvGraphicFramePr>
        <xdr:cNvPr id="2" name="Chart 3">
          <a:extLst>
            <a:ext uri="{FF2B5EF4-FFF2-40B4-BE49-F238E27FC236}">
              <a16:creationId xmlns:a16="http://schemas.microsoft.com/office/drawing/2014/main" id="{9997621C-60E1-488F-9826-372F5B9B2BF9}"/>
            </a:ext>
            <a:ext uri="{147F2762-F138-4A5C-976F-8EAC2B608ADB}">
              <a16:predDERef xmlns:a16="http://schemas.microsoft.com/office/drawing/2014/main" pred="{3B20D426-6DDE-44F3-80F0-D2F41F1304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345563</xdr:colOff>
      <xdr:row>1</xdr:row>
      <xdr:rowOff>19366</xdr:rowOff>
    </xdr:from>
    <xdr:to>
      <xdr:col>28</xdr:col>
      <xdr:colOff>466214</xdr:colOff>
      <xdr:row>15</xdr:row>
      <xdr:rowOff>6666</xdr:rowOff>
    </xdr:to>
    <xdr:graphicFrame macro="">
      <xdr:nvGraphicFramePr>
        <xdr:cNvPr id="18" name="Chart 4">
          <a:extLst>
            <a:ext uri="{FF2B5EF4-FFF2-40B4-BE49-F238E27FC236}">
              <a16:creationId xmlns:a16="http://schemas.microsoft.com/office/drawing/2014/main" id="{79C5D169-3EB5-4566-BB3C-7F7289C4E3F9}"/>
            </a:ext>
            <a:ext uri="{147F2762-F138-4A5C-976F-8EAC2B608ADB}">
              <a16:predDERef xmlns:a16="http://schemas.microsoft.com/office/drawing/2014/main" pred="{9997621C-60E1-488F-9826-372F5B9B2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517719</xdr:colOff>
      <xdr:row>1</xdr:row>
      <xdr:rowOff>26422</xdr:rowOff>
    </xdr:from>
    <xdr:to>
      <xdr:col>34</xdr:col>
      <xdr:colOff>180718</xdr:colOff>
      <xdr:row>15</xdr:row>
      <xdr:rowOff>13722</xdr:rowOff>
    </xdr:to>
    <xdr:graphicFrame macro="">
      <xdr:nvGraphicFramePr>
        <xdr:cNvPr id="15" name="Chart 5">
          <a:extLst>
            <a:ext uri="{FF2B5EF4-FFF2-40B4-BE49-F238E27FC236}">
              <a16:creationId xmlns:a16="http://schemas.microsoft.com/office/drawing/2014/main" id="{BAA36A12-3F7A-4551-969A-4933143B2224}"/>
            </a:ext>
            <a:ext uri="{147F2762-F138-4A5C-976F-8EAC2B608ADB}">
              <a16:predDERef xmlns:a16="http://schemas.microsoft.com/office/drawing/2014/main" pred="{79C5D169-3EB5-4566-BB3C-7F7289C4E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38</xdr:col>
      <xdr:colOff>426883</xdr:colOff>
      <xdr:row>1</xdr:row>
      <xdr:rowOff>19728</xdr:rowOff>
    </xdr:from>
    <xdr:to>
      <xdr:col>42</xdr:col>
      <xdr:colOff>611373</xdr:colOff>
      <xdr:row>15</xdr:row>
      <xdr:rowOff>4488</xdr:rowOff>
    </xdr:to>
    <xdr:graphicFrame macro="">
      <xdr:nvGraphicFramePr>
        <xdr:cNvPr id="12" name="Chart 6">
          <a:extLst>
            <a:ext uri="{FF2B5EF4-FFF2-40B4-BE49-F238E27FC236}">
              <a16:creationId xmlns:a16="http://schemas.microsoft.com/office/drawing/2014/main" id="{D7A00F82-C249-4892-97A7-08CFB18AF8F2}"/>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13224</xdr:colOff>
      <xdr:row>17</xdr:row>
      <xdr:rowOff>58719</xdr:rowOff>
    </xdr:from>
    <xdr:to>
      <xdr:col>5</xdr:col>
      <xdr:colOff>505983</xdr:colOff>
      <xdr:row>27</xdr:row>
      <xdr:rowOff>175289</xdr:rowOff>
    </xdr:to>
    <xdr:graphicFrame macro="">
      <xdr:nvGraphicFramePr>
        <xdr:cNvPr id="94" name="Chart 7">
          <a:extLst>
            <a:ext uri="{FF2B5EF4-FFF2-40B4-BE49-F238E27FC236}">
              <a16:creationId xmlns:a16="http://schemas.microsoft.com/office/drawing/2014/main" id="{2F58342C-7231-4C71-9278-58A28856AA88}"/>
            </a:ext>
            <a:ext uri="{147F2762-F138-4A5C-976F-8EAC2B608ADB}">
              <a16:predDERef xmlns:a16="http://schemas.microsoft.com/office/drawing/2014/main" pred="{D7A00F82-C249-4892-97A7-08CFB18AF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503743</xdr:colOff>
      <xdr:row>17</xdr:row>
      <xdr:rowOff>50800</xdr:rowOff>
    </xdr:from>
    <xdr:to>
      <xdr:col>11</xdr:col>
      <xdr:colOff>175261</xdr:colOff>
      <xdr:row>27</xdr:row>
      <xdr:rowOff>161020</xdr:rowOff>
    </xdr:to>
    <xdr:graphicFrame macro="">
      <xdr:nvGraphicFramePr>
        <xdr:cNvPr id="56" name="Chart 8">
          <a:extLst>
            <a:ext uri="{FF2B5EF4-FFF2-40B4-BE49-F238E27FC236}">
              <a16:creationId xmlns:a16="http://schemas.microsoft.com/office/drawing/2014/main" id="{44AE65CA-4D5C-443E-BE14-E8B8A217642E}"/>
            </a:ext>
            <a:ext uri="{147F2762-F138-4A5C-976F-8EAC2B608ADB}">
              <a16:predDERef xmlns:a16="http://schemas.microsoft.com/office/drawing/2014/main" pred="{2F58342C-7231-4C71-9278-58A28856A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196850</xdr:colOff>
      <xdr:row>17</xdr:row>
      <xdr:rowOff>6350</xdr:rowOff>
    </xdr:from>
    <xdr:to>
      <xdr:col>18</xdr:col>
      <xdr:colOff>643683</xdr:colOff>
      <xdr:row>27</xdr:row>
      <xdr:rowOff>121650</xdr:rowOff>
    </xdr:to>
    <xdr:graphicFrame macro="">
      <xdr:nvGraphicFramePr>
        <xdr:cNvPr id="119" name="Chart 9">
          <a:extLst>
            <a:ext uri="{FF2B5EF4-FFF2-40B4-BE49-F238E27FC236}">
              <a16:creationId xmlns:a16="http://schemas.microsoft.com/office/drawing/2014/main" id="{26DBC653-6F9A-4E29-8E52-01D3AC7E674D}"/>
            </a:ext>
            <a:ext uri="{147F2762-F138-4A5C-976F-8EAC2B608ADB}">
              <a16:predDERef xmlns:a16="http://schemas.microsoft.com/office/drawing/2014/main" pred="{44AE65CA-4D5C-443E-BE14-E8B8A2176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1807</xdr:colOff>
      <xdr:row>17</xdr:row>
      <xdr:rowOff>6350</xdr:rowOff>
    </xdr:from>
    <xdr:to>
      <xdr:col>24</xdr:col>
      <xdr:colOff>335093</xdr:colOff>
      <xdr:row>27</xdr:row>
      <xdr:rowOff>121650</xdr:rowOff>
    </xdr:to>
    <xdr:graphicFrame macro="">
      <xdr:nvGraphicFramePr>
        <xdr:cNvPr id="120" name="Chart 10">
          <a:extLst>
            <a:ext uri="{FF2B5EF4-FFF2-40B4-BE49-F238E27FC236}">
              <a16:creationId xmlns:a16="http://schemas.microsoft.com/office/drawing/2014/main" id="{A994E58F-780D-461C-9013-F78258D526D5}"/>
            </a:ext>
            <a:ext uri="{147F2762-F138-4A5C-976F-8EAC2B608ADB}">
              <a16:predDERef xmlns:a16="http://schemas.microsoft.com/office/drawing/2014/main" pred="{26DBC653-6F9A-4E29-8E52-01D3AC7E6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571500</xdr:colOff>
      <xdr:row>65</xdr:row>
      <xdr:rowOff>0</xdr:rowOff>
    </xdr:from>
    <xdr:to>
      <xdr:col>5</xdr:col>
      <xdr:colOff>466834</xdr:colOff>
      <xdr:row>75</xdr:row>
      <xdr:rowOff>115300</xdr:rowOff>
    </xdr:to>
    <xdr:graphicFrame macro="">
      <xdr:nvGraphicFramePr>
        <xdr:cNvPr id="99" name="Chart 17">
          <a:extLst>
            <a:ext uri="{FF2B5EF4-FFF2-40B4-BE49-F238E27FC236}">
              <a16:creationId xmlns:a16="http://schemas.microsoft.com/office/drawing/2014/main" id="{DB293CAC-3926-462C-AF94-EC61CCEB9E2D}"/>
            </a:ext>
            <a:ext uri="{147F2762-F138-4A5C-976F-8EAC2B608ADB}">
              <a16:predDERef xmlns:a16="http://schemas.microsoft.com/office/drawing/2014/main" pred="{C1A4D9A6-A00D-440D-A9FD-55DD452CD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501650</xdr:colOff>
      <xdr:row>65</xdr:row>
      <xdr:rowOff>27213</xdr:rowOff>
    </xdr:from>
    <xdr:to>
      <xdr:col>11</xdr:col>
      <xdr:colOff>164650</xdr:colOff>
      <xdr:row>75</xdr:row>
      <xdr:rowOff>142513</xdr:rowOff>
    </xdr:to>
    <xdr:graphicFrame macro="">
      <xdr:nvGraphicFramePr>
        <xdr:cNvPr id="7" name="Chart 18">
          <a:extLst>
            <a:ext uri="{FF2B5EF4-FFF2-40B4-BE49-F238E27FC236}">
              <a16:creationId xmlns:a16="http://schemas.microsoft.com/office/drawing/2014/main" id="{E8C999DE-9A8C-4842-9877-41541861EA78}"/>
            </a:ext>
            <a:ext uri="{147F2762-F138-4A5C-976F-8EAC2B608ADB}">
              <a16:predDERef xmlns:a16="http://schemas.microsoft.com/office/drawing/2014/main" pred="{DB293CAC-3926-462C-AF94-EC61CCEB9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196850</xdr:colOff>
      <xdr:row>65</xdr:row>
      <xdr:rowOff>27213</xdr:rowOff>
    </xdr:from>
    <xdr:to>
      <xdr:col>18</xdr:col>
      <xdr:colOff>643683</xdr:colOff>
      <xdr:row>75</xdr:row>
      <xdr:rowOff>142513</xdr:rowOff>
    </xdr:to>
    <xdr:graphicFrame macro="">
      <xdr:nvGraphicFramePr>
        <xdr:cNvPr id="194" name="Chart 19">
          <a:extLst>
            <a:ext uri="{FF2B5EF4-FFF2-40B4-BE49-F238E27FC236}">
              <a16:creationId xmlns:a16="http://schemas.microsoft.com/office/drawing/2014/main" id="{F661940D-EE8E-4074-A2EC-115673797776}"/>
            </a:ext>
            <a:ext uri="{147F2762-F138-4A5C-976F-8EAC2B608ADB}">
              <a16:predDERef xmlns:a16="http://schemas.microsoft.com/office/drawing/2014/main" pred="{E8C999DE-9A8C-4842-9877-41541861E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xdr:col>
      <xdr:colOff>1808</xdr:colOff>
      <xdr:row>65</xdr:row>
      <xdr:rowOff>27213</xdr:rowOff>
    </xdr:from>
    <xdr:to>
      <xdr:col>24</xdr:col>
      <xdr:colOff>336094</xdr:colOff>
      <xdr:row>75</xdr:row>
      <xdr:rowOff>142513</xdr:rowOff>
    </xdr:to>
    <xdr:graphicFrame macro="">
      <xdr:nvGraphicFramePr>
        <xdr:cNvPr id="248" name="Chart 20">
          <a:extLst>
            <a:ext uri="{FF2B5EF4-FFF2-40B4-BE49-F238E27FC236}">
              <a16:creationId xmlns:a16="http://schemas.microsoft.com/office/drawing/2014/main" id="{2779F89E-F618-4BBB-BC92-2E33BB9DBA2B}"/>
            </a:ext>
            <a:ext uri="{147F2762-F138-4A5C-976F-8EAC2B608ADB}">
              <a16:predDERef xmlns:a16="http://schemas.microsoft.com/office/drawing/2014/main" pred="{F661940D-EE8E-4074-A2EC-115673797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571500</xdr:colOff>
      <xdr:row>89</xdr:row>
      <xdr:rowOff>45356</xdr:rowOff>
    </xdr:from>
    <xdr:to>
      <xdr:col>5</xdr:col>
      <xdr:colOff>466834</xdr:colOff>
      <xdr:row>99</xdr:row>
      <xdr:rowOff>160656</xdr:rowOff>
    </xdr:to>
    <xdr:graphicFrame macro="">
      <xdr:nvGraphicFramePr>
        <xdr:cNvPr id="101" name="Chart 22">
          <a:extLst>
            <a:ext uri="{FF2B5EF4-FFF2-40B4-BE49-F238E27FC236}">
              <a16:creationId xmlns:a16="http://schemas.microsoft.com/office/drawing/2014/main" id="{8E392F38-120E-4061-AF8C-C20133D42D1D}"/>
            </a:ext>
            <a:ext uri="{147F2762-F138-4A5C-976F-8EAC2B608ADB}">
              <a16:predDERef xmlns:a16="http://schemas.microsoft.com/office/drawing/2014/main" pred="{ADFF02CA-C7C8-436C-A19D-306C69FD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485775</xdr:colOff>
      <xdr:row>89</xdr:row>
      <xdr:rowOff>54881</xdr:rowOff>
    </xdr:from>
    <xdr:to>
      <xdr:col>11</xdr:col>
      <xdr:colOff>142425</xdr:colOff>
      <xdr:row>99</xdr:row>
      <xdr:rowOff>170181</xdr:rowOff>
    </xdr:to>
    <xdr:graphicFrame macro="">
      <xdr:nvGraphicFramePr>
        <xdr:cNvPr id="11" name="Chart 23">
          <a:extLst>
            <a:ext uri="{FF2B5EF4-FFF2-40B4-BE49-F238E27FC236}">
              <a16:creationId xmlns:a16="http://schemas.microsoft.com/office/drawing/2014/main" id="{080A420D-AD46-4D6A-B617-1018E9018A49}"/>
            </a:ext>
            <a:ext uri="{147F2762-F138-4A5C-976F-8EAC2B608ADB}">
              <a16:predDERef xmlns:a16="http://schemas.microsoft.com/office/drawing/2014/main" pred="{8E392F38-120E-4061-AF8C-C20133D4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196850</xdr:colOff>
      <xdr:row>89</xdr:row>
      <xdr:rowOff>45356</xdr:rowOff>
    </xdr:from>
    <xdr:to>
      <xdr:col>18</xdr:col>
      <xdr:colOff>643683</xdr:colOff>
      <xdr:row>99</xdr:row>
      <xdr:rowOff>160656</xdr:rowOff>
    </xdr:to>
    <xdr:graphicFrame macro="">
      <xdr:nvGraphicFramePr>
        <xdr:cNvPr id="226" name="Chart 24">
          <a:extLst>
            <a:ext uri="{FF2B5EF4-FFF2-40B4-BE49-F238E27FC236}">
              <a16:creationId xmlns:a16="http://schemas.microsoft.com/office/drawing/2014/main" id="{08B4BD22-CD94-45E5-A323-32804FB2193C}"/>
            </a:ext>
            <a:ext uri="{147F2762-F138-4A5C-976F-8EAC2B608ADB}">
              <a16:predDERef xmlns:a16="http://schemas.microsoft.com/office/drawing/2014/main" pred="{080A420D-AD46-4D6A-B617-1018E9018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1808</xdr:colOff>
      <xdr:row>89</xdr:row>
      <xdr:rowOff>45356</xdr:rowOff>
    </xdr:from>
    <xdr:to>
      <xdr:col>24</xdr:col>
      <xdr:colOff>336094</xdr:colOff>
      <xdr:row>99</xdr:row>
      <xdr:rowOff>160656</xdr:rowOff>
    </xdr:to>
    <xdr:graphicFrame macro="">
      <xdr:nvGraphicFramePr>
        <xdr:cNvPr id="227" name="Chart 25">
          <a:extLst>
            <a:ext uri="{FF2B5EF4-FFF2-40B4-BE49-F238E27FC236}">
              <a16:creationId xmlns:a16="http://schemas.microsoft.com/office/drawing/2014/main" id="{DBF5A3ED-192F-4868-B5C4-2B2F35FA7A65}"/>
            </a:ext>
            <a:ext uri="{147F2762-F138-4A5C-976F-8EAC2B608ADB}">
              <a16:predDERef xmlns:a16="http://schemas.microsoft.com/office/drawing/2014/main" pred="{08B4BD22-CD94-45E5-A323-32804FB21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571500</xdr:colOff>
      <xdr:row>53</xdr:row>
      <xdr:rowOff>18142</xdr:rowOff>
    </xdr:from>
    <xdr:to>
      <xdr:col>5</xdr:col>
      <xdr:colOff>466834</xdr:colOff>
      <xdr:row>63</xdr:row>
      <xdr:rowOff>133442</xdr:rowOff>
    </xdr:to>
    <xdr:graphicFrame macro="">
      <xdr:nvGraphicFramePr>
        <xdr:cNvPr id="36" name="Chart 27">
          <a:extLst>
            <a:ext uri="{FF2B5EF4-FFF2-40B4-BE49-F238E27FC236}">
              <a16:creationId xmlns:a16="http://schemas.microsoft.com/office/drawing/2014/main" id="{8868FF8B-6253-4990-930B-8FECFCE22C25}"/>
            </a:ext>
            <a:ext uri="{147F2762-F138-4A5C-976F-8EAC2B608ADB}">
              <a16:predDERef xmlns:a16="http://schemas.microsoft.com/office/drawing/2014/main" pred="{ADFF02CA-C7C8-436C-A19D-306C69FD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501650</xdr:colOff>
      <xdr:row>53</xdr:row>
      <xdr:rowOff>18142</xdr:rowOff>
    </xdr:from>
    <xdr:to>
      <xdr:col>11</xdr:col>
      <xdr:colOff>164650</xdr:colOff>
      <xdr:row>63</xdr:row>
      <xdr:rowOff>133442</xdr:rowOff>
    </xdr:to>
    <xdr:graphicFrame macro="">
      <xdr:nvGraphicFramePr>
        <xdr:cNvPr id="40" name="Chart 28">
          <a:extLst>
            <a:ext uri="{FF2B5EF4-FFF2-40B4-BE49-F238E27FC236}">
              <a16:creationId xmlns:a16="http://schemas.microsoft.com/office/drawing/2014/main" id="{B875CAED-DBFD-4E54-9C59-B5CC9ABE1418}"/>
            </a:ext>
            <a:ext uri="{147F2762-F138-4A5C-976F-8EAC2B608ADB}">
              <a16:predDERef xmlns:a16="http://schemas.microsoft.com/office/drawing/2014/main" pred="{8E392F38-120E-4061-AF8C-C20133D4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242943</xdr:colOff>
      <xdr:row>53</xdr:row>
      <xdr:rowOff>21952</xdr:rowOff>
    </xdr:from>
    <xdr:to>
      <xdr:col>19</xdr:col>
      <xdr:colOff>14883</xdr:colOff>
      <xdr:row>63</xdr:row>
      <xdr:rowOff>137252</xdr:rowOff>
    </xdr:to>
    <xdr:graphicFrame macro="">
      <xdr:nvGraphicFramePr>
        <xdr:cNvPr id="42" name="Chart 29">
          <a:extLst>
            <a:ext uri="{FF2B5EF4-FFF2-40B4-BE49-F238E27FC236}">
              <a16:creationId xmlns:a16="http://schemas.microsoft.com/office/drawing/2014/main" id="{DF318C37-B4B4-47B5-8869-96D7AB8324F9}"/>
            </a:ext>
            <a:ext uri="{147F2762-F138-4A5C-976F-8EAC2B608ADB}">
              <a16:predDERef xmlns:a16="http://schemas.microsoft.com/office/drawing/2014/main" pred="{080A420D-AD46-4D6A-B617-1018E9018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18</xdr:col>
      <xdr:colOff>643340</xdr:colOff>
      <xdr:row>53</xdr:row>
      <xdr:rowOff>18142</xdr:rowOff>
    </xdr:from>
    <xdr:to>
      <xdr:col>24</xdr:col>
      <xdr:colOff>361406</xdr:colOff>
      <xdr:row>63</xdr:row>
      <xdr:rowOff>133442</xdr:rowOff>
    </xdr:to>
    <xdr:graphicFrame macro="">
      <xdr:nvGraphicFramePr>
        <xdr:cNvPr id="39" name="Chart 30">
          <a:extLst>
            <a:ext uri="{FF2B5EF4-FFF2-40B4-BE49-F238E27FC236}">
              <a16:creationId xmlns:a16="http://schemas.microsoft.com/office/drawing/2014/main" id="{B236D0AD-DF8D-42D7-8651-A74CBBA41FAC}"/>
            </a:ext>
            <a:ext uri="{147F2762-F138-4A5C-976F-8EAC2B608ADB}">
              <a16:predDERef xmlns:a16="http://schemas.microsoft.com/office/drawing/2014/main" pred="{08B4BD22-CD94-45E5-A323-32804FB21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34</xdr:col>
      <xdr:colOff>207347</xdr:colOff>
      <xdr:row>1</xdr:row>
      <xdr:rowOff>13828</xdr:rowOff>
    </xdr:from>
    <xdr:to>
      <xdr:col>38</xdr:col>
      <xdr:colOff>391837</xdr:colOff>
      <xdr:row>15</xdr:row>
      <xdr:rowOff>1128</xdr:rowOff>
    </xdr:to>
    <xdr:graphicFrame macro="">
      <xdr:nvGraphicFramePr>
        <xdr:cNvPr id="10" name="Chart 23">
          <a:extLst>
            <a:ext uri="{FF2B5EF4-FFF2-40B4-BE49-F238E27FC236}">
              <a16:creationId xmlns:a16="http://schemas.microsoft.com/office/drawing/2014/main" id="{E8121331-9893-457A-AF04-30A88007101F}"/>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24</xdr:col>
      <xdr:colOff>373513</xdr:colOff>
      <xdr:row>17</xdr:row>
      <xdr:rowOff>18636</xdr:rowOff>
    </xdr:from>
    <xdr:to>
      <xdr:col>28</xdr:col>
      <xdr:colOff>525913</xdr:colOff>
      <xdr:row>27</xdr:row>
      <xdr:rowOff>112963</xdr:rowOff>
    </xdr:to>
    <xdr:graphicFrame macro="">
      <xdr:nvGraphicFramePr>
        <xdr:cNvPr id="191" name="Chart 33">
          <a:extLst>
            <a:ext uri="{FF2B5EF4-FFF2-40B4-BE49-F238E27FC236}">
              <a16:creationId xmlns:a16="http://schemas.microsoft.com/office/drawing/2014/main" id="{47361028-FC11-4749-A6C1-75BB5F602FD3}"/>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24</xdr:col>
      <xdr:colOff>405962</xdr:colOff>
      <xdr:row>65</xdr:row>
      <xdr:rowOff>27000</xdr:rowOff>
    </xdr:from>
    <xdr:to>
      <xdr:col>28</xdr:col>
      <xdr:colOff>558362</xdr:colOff>
      <xdr:row>75</xdr:row>
      <xdr:rowOff>126407</xdr:rowOff>
    </xdr:to>
    <xdr:graphicFrame macro="">
      <xdr:nvGraphicFramePr>
        <xdr:cNvPr id="215" name="Chart 35">
          <a:extLst>
            <a:ext uri="{FF2B5EF4-FFF2-40B4-BE49-F238E27FC236}">
              <a16:creationId xmlns:a16="http://schemas.microsoft.com/office/drawing/2014/main" id="{F0AE467B-9254-4434-B1E1-ED5651BBDF4A}"/>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24</xdr:col>
      <xdr:colOff>386443</xdr:colOff>
      <xdr:row>89</xdr:row>
      <xdr:rowOff>54428</xdr:rowOff>
    </xdr:from>
    <xdr:to>
      <xdr:col>28</xdr:col>
      <xdr:colOff>538843</xdr:colOff>
      <xdr:row>99</xdr:row>
      <xdr:rowOff>153835</xdr:rowOff>
    </xdr:to>
    <xdr:graphicFrame macro="">
      <xdr:nvGraphicFramePr>
        <xdr:cNvPr id="242" name="Chart 37">
          <a:extLst>
            <a:ext uri="{FF2B5EF4-FFF2-40B4-BE49-F238E27FC236}">
              <a16:creationId xmlns:a16="http://schemas.microsoft.com/office/drawing/2014/main" id="{9F8E92C5-69F7-44C9-98B5-C7CE69F20AFF}"/>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24</xdr:col>
      <xdr:colOff>422728</xdr:colOff>
      <xdr:row>53</xdr:row>
      <xdr:rowOff>25762</xdr:rowOff>
    </xdr:from>
    <xdr:to>
      <xdr:col>28</xdr:col>
      <xdr:colOff>575128</xdr:colOff>
      <xdr:row>63</xdr:row>
      <xdr:rowOff>126439</xdr:rowOff>
    </xdr:to>
    <xdr:graphicFrame macro="">
      <xdr:nvGraphicFramePr>
        <xdr:cNvPr id="74" name="Chart 38">
          <a:extLst>
            <a:ext uri="{FF2B5EF4-FFF2-40B4-BE49-F238E27FC236}">
              <a16:creationId xmlns:a16="http://schemas.microsoft.com/office/drawing/2014/main" id="{0AEF9657-0876-4492-9443-E3CA4B5E960D}"/>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571500</xdr:colOff>
      <xdr:row>29</xdr:row>
      <xdr:rowOff>6350</xdr:rowOff>
    </xdr:from>
    <xdr:to>
      <xdr:col>5</xdr:col>
      <xdr:colOff>449900</xdr:colOff>
      <xdr:row>39</xdr:row>
      <xdr:rowOff>121650</xdr:rowOff>
    </xdr:to>
    <xdr:graphicFrame macro="">
      <xdr:nvGraphicFramePr>
        <xdr:cNvPr id="44" name="Chart 7">
          <a:extLst>
            <a:ext uri="{FF2B5EF4-FFF2-40B4-BE49-F238E27FC236}">
              <a16:creationId xmlns:a16="http://schemas.microsoft.com/office/drawing/2014/main" id="{CC3A3012-D226-40F8-B7FF-4CF2612B8460}"/>
            </a:ext>
            <a:ext uri="{147F2762-F138-4A5C-976F-8EAC2B608ADB}">
              <a16:predDERef xmlns:a16="http://schemas.microsoft.com/office/drawing/2014/main" pred="{D7A00F82-C249-4892-97A7-08CFB18AF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501650</xdr:colOff>
      <xdr:row>29</xdr:row>
      <xdr:rowOff>6350</xdr:rowOff>
    </xdr:from>
    <xdr:to>
      <xdr:col>11</xdr:col>
      <xdr:colOff>145936</xdr:colOff>
      <xdr:row>39</xdr:row>
      <xdr:rowOff>121650</xdr:rowOff>
    </xdr:to>
    <xdr:graphicFrame macro="">
      <xdr:nvGraphicFramePr>
        <xdr:cNvPr id="4" name="Chart 8">
          <a:extLst>
            <a:ext uri="{FF2B5EF4-FFF2-40B4-BE49-F238E27FC236}">
              <a16:creationId xmlns:a16="http://schemas.microsoft.com/office/drawing/2014/main" id="{84DD9B22-2982-4C22-AD75-827964629DD1}"/>
            </a:ext>
            <a:ext uri="{147F2762-F138-4A5C-976F-8EAC2B608ADB}">
              <a16:predDERef xmlns:a16="http://schemas.microsoft.com/office/drawing/2014/main" pred="{2F58342C-7231-4C71-9278-58A28856A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196850</xdr:colOff>
      <xdr:row>29</xdr:row>
      <xdr:rowOff>6350</xdr:rowOff>
    </xdr:from>
    <xdr:to>
      <xdr:col>18</xdr:col>
      <xdr:colOff>643683</xdr:colOff>
      <xdr:row>39</xdr:row>
      <xdr:rowOff>121650</xdr:rowOff>
    </xdr:to>
    <xdr:graphicFrame macro="">
      <xdr:nvGraphicFramePr>
        <xdr:cNvPr id="8" name="Chart 9">
          <a:extLst>
            <a:ext uri="{FF2B5EF4-FFF2-40B4-BE49-F238E27FC236}">
              <a16:creationId xmlns:a16="http://schemas.microsoft.com/office/drawing/2014/main" id="{C058E174-54BF-4212-99FC-DCDEE4411CFC}"/>
            </a:ext>
            <a:ext uri="{147F2762-F138-4A5C-976F-8EAC2B608ADB}">
              <a16:predDERef xmlns:a16="http://schemas.microsoft.com/office/drawing/2014/main" pred="{44AE65CA-4D5C-443E-BE14-E8B8A2176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18</xdr:col>
      <xdr:colOff>673093</xdr:colOff>
      <xdr:row>29</xdr:row>
      <xdr:rowOff>6350</xdr:rowOff>
    </xdr:from>
    <xdr:to>
      <xdr:col>24</xdr:col>
      <xdr:colOff>335093</xdr:colOff>
      <xdr:row>39</xdr:row>
      <xdr:rowOff>121650</xdr:rowOff>
    </xdr:to>
    <xdr:graphicFrame macro="">
      <xdr:nvGraphicFramePr>
        <xdr:cNvPr id="9" name="Chart 10">
          <a:extLst>
            <a:ext uri="{FF2B5EF4-FFF2-40B4-BE49-F238E27FC236}">
              <a16:creationId xmlns:a16="http://schemas.microsoft.com/office/drawing/2014/main" id="{A23B8609-26CE-446A-ADE1-7D243DCAE9DB}"/>
            </a:ext>
            <a:ext uri="{147F2762-F138-4A5C-976F-8EAC2B608ADB}">
              <a16:predDERef xmlns:a16="http://schemas.microsoft.com/office/drawing/2014/main" pred="{26DBC653-6F9A-4E29-8E52-01D3AC7E6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24</xdr:col>
      <xdr:colOff>373513</xdr:colOff>
      <xdr:row>29</xdr:row>
      <xdr:rowOff>18636</xdr:rowOff>
    </xdr:from>
    <xdr:to>
      <xdr:col>28</xdr:col>
      <xdr:colOff>525913</xdr:colOff>
      <xdr:row>39</xdr:row>
      <xdr:rowOff>112963</xdr:rowOff>
    </xdr:to>
    <xdr:graphicFrame macro="">
      <xdr:nvGraphicFramePr>
        <xdr:cNvPr id="14" name="Chart 33">
          <a:extLst>
            <a:ext uri="{FF2B5EF4-FFF2-40B4-BE49-F238E27FC236}">
              <a16:creationId xmlns:a16="http://schemas.microsoft.com/office/drawing/2014/main" id="{AAD41328-B294-4678-9533-CE671D7DBACC}"/>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571500</xdr:colOff>
      <xdr:row>77</xdr:row>
      <xdr:rowOff>45356</xdr:rowOff>
    </xdr:from>
    <xdr:to>
      <xdr:col>5</xdr:col>
      <xdr:colOff>466834</xdr:colOff>
      <xdr:row>87</xdr:row>
      <xdr:rowOff>160656</xdr:rowOff>
    </xdr:to>
    <xdr:graphicFrame macro="">
      <xdr:nvGraphicFramePr>
        <xdr:cNvPr id="6" name="Chart 17">
          <a:extLst>
            <a:ext uri="{FF2B5EF4-FFF2-40B4-BE49-F238E27FC236}">
              <a16:creationId xmlns:a16="http://schemas.microsoft.com/office/drawing/2014/main" id="{97C1B49D-55B6-41A3-9162-C620B9F66AA2}"/>
            </a:ext>
            <a:ext uri="{147F2762-F138-4A5C-976F-8EAC2B608ADB}">
              <a16:predDERef xmlns:a16="http://schemas.microsoft.com/office/drawing/2014/main" pred="{C1A4D9A6-A00D-440D-A9FD-55DD452CD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501650</xdr:colOff>
      <xdr:row>77</xdr:row>
      <xdr:rowOff>45356</xdr:rowOff>
    </xdr:from>
    <xdr:to>
      <xdr:col>11</xdr:col>
      <xdr:colOff>164650</xdr:colOff>
      <xdr:row>87</xdr:row>
      <xdr:rowOff>160656</xdr:rowOff>
    </xdr:to>
    <xdr:graphicFrame macro="">
      <xdr:nvGraphicFramePr>
        <xdr:cNvPr id="16" name="Chart 18">
          <a:extLst>
            <a:ext uri="{FF2B5EF4-FFF2-40B4-BE49-F238E27FC236}">
              <a16:creationId xmlns:a16="http://schemas.microsoft.com/office/drawing/2014/main" id="{2FE86916-8563-4F80-8450-FE0A826F63B6}"/>
            </a:ext>
            <a:ext uri="{147F2762-F138-4A5C-976F-8EAC2B608ADB}">
              <a16:predDERef xmlns:a16="http://schemas.microsoft.com/office/drawing/2014/main" pred="{DB293CAC-3926-462C-AF94-EC61CCEB9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11</xdr:col>
      <xdr:colOff>196850</xdr:colOff>
      <xdr:row>77</xdr:row>
      <xdr:rowOff>45356</xdr:rowOff>
    </xdr:from>
    <xdr:to>
      <xdr:col>18</xdr:col>
      <xdr:colOff>643683</xdr:colOff>
      <xdr:row>87</xdr:row>
      <xdr:rowOff>160656</xdr:rowOff>
    </xdr:to>
    <xdr:graphicFrame macro="">
      <xdr:nvGraphicFramePr>
        <xdr:cNvPr id="17" name="Chart 19">
          <a:extLst>
            <a:ext uri="{FF2B5EF4-FFF2-40B4-BE49-F238E27FC236}">
              <a16:creationId xmlns:a16="http://schemas.microsoft.com/office/drawing/2014/main" id="{06EB37B6-103B-4B69-B79F-274478596C12}"/>
            </a:ext>
            <a:ext uri="{147F2762-F138-4A5C-976F-8EAC2B608ADB}">
              <a16:predDERef xmlns:a16="http://schemas.microsoft.com/office/drawing/2014/main" pred="{E8C999DE-9A8C-4842-9877-41541861E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19</xdr:col>
      <xdr:colOff>1808</xdr:colOff>
      <xdr:row>77</xdr:row>
      <xdr:rowOff>45356</xdr:rowOff>
    </xdr:from>
    <xdr:to>
      <xdr:col>24</xdr:col>
      <xdr:colOff>336094</xdr:colOff>
      <xdr:row>87</xdr:row>
      <xdr:rowOff>160656</xdr:rowOff>
    </xdr:to>
    <xdr:graphicFrame macro="">
      <xdr:nvGraphicFramePr>
        <xdr:cNvPr id="19" name="Chart 20">
          <a:extLst>
            <a:ext uri="{FF2B5EF4-FFF2-40B4-BE49-F238E27FC236}">
              <a16:creationId xmlns:a16="http://schemas.microsoft.com/office/drawing/2014/main" id="{A3600911-C8F5-41DB-A1F7-22285C8CD6E0}"/>
            </a:ext>
            <a:ext uri="{147F2762-F138-4A5C-976F-8EAC2B608ADB}">
              <a16:predDERef xmlns:a16="http://schemas.microsoft.com/office/drawing/2014/main" pred="{F661940D-EE8E-4074-A2EC-115673797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396891</xdr:colOff>
      <xdr:row>77</xdr:row>
      <xdr:rowOff>54216</xdr:rowOff>
    </xdr:from>
    <xdr:to>
      <xdr:col>28</xdr:col>
      <xdr:colOff>549291</xdr:colOff>
      <xdr:row>87</xdr:row>
      <xdr:rowOff>153623</xdr:rowOff>
    </xdr:to>
    <xdr:graphicFrame macro="">
      <xdr:nvGraphicFramePr>
        <xdr:cNvPr id="21" name="Chart 35">
          <a:extLst>
            <a:ext uri="{FF2B5EF4-FFF2-40B4-BE49-F238E27FC236}">
              <a16:creationId xmlns:a16="http://schemas.microsoft.com/office/drawing/2014/main" id="{DB360E64-B73A-4EC2-A820-2DD7B42D1F1D}"/>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571500</xdr:colOff>
      <xdr:row>101</xdr:row>
      <xdr:rowOff>27213</xdr:rowOff>
    </xdr:from>
    <xdr:to>
      <xdr:col>5</xdr:col>
      <xdr:colOff>466834</xdr:colOff>
      <xdr:row>111</xdr:row>
      <xdr:rowOff>142513</xdr:rowOff>
    </xdr:to>
    <xdr:graphicFrame macro="">
      <xdr:nvGraphicFramePr>
        <xdr:cNvPr id="22" name="Chart 22">
          <a:extLst>
            <a:ext uri="{FF2B5EF4-FFF2-40B4-BE49-F238E27FC236}">
              <a16:creationId xmlns:a16="http://schemas.microsoft.com/office/drawing/2014/main" id="{670393D6-B0A3-4D4A-A1A6-C0A0EAE13BE5}"/>
            </a:ext>
            <a:ext uri="{147F2762-F138-4A5C-976F-8EAC2B608ADB}">
              <a16:predDERef xmlns:a16="http://schemas.microsoft.com/office/drawing/2014/main" pred="{ADFF02CA-C7C8-436C-A19D-306C69FD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485775</xdr:colOff>
      <xdr:row>101</xdr:row>
      <xdr:rowOff>36738</xdr:rowOff>
    </xdr:from>
    <xdr:to>
      <xdr:col>11</xdr:col>
      <xdr:colOff>142425</xdr:colOff>
      <xdr:row>111</xdr:row>
      <xdr:rowOff>152038</xdr:rowOff>
    </xdr:to>
    <xdr:graphicFrame macro="">
      <xdr:nvGraphicFramePr>
        <xdr:cNvPr id="25" name="Chart 23">
          <a:extLst>
            <a:ext uri="{FF2B5EF4-FFF2-40B4-BE49-F238E27FC236}">
              <a16:creationId xmlns:a16="http://schemas.microsoft.com/office/drawing/2014/main" id="{C7AE1050-0B98-4EC1-94B4-74F2AE739BD3}"/>
            </a:ext>
            <a:ext uri="{147F2762-F138-4A5C-976F-8EAC2B608ADB}">
              <a16:predDERef xmlns:a16="http://schemas.microsoft.com/office/drawing/2014/main" pred="{8E392F38-120E-4061-AF8C-C20133D4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11</xdr:col>
      <xdr:colOff>196850</xdr:colOff>
      <xdr:row>101</xdr:row>
      <xdr:rowOff>27213</xdr:rowOff>
    </xdr:from>
    <xdr:to>
      <xdr:col>18</xdr:col>
      <xdr:colOff>643683</xdr:colOff>
      <xdr:row>111</xdr:row>
      <xdr:rowOff>142513</xdr:rowOff>
    </xdr:to>
    <xdr:graphicFrame macro="">
      <xdr:nvGraphicFramePr>
        <xdr:cNvPr id="26" name="Chart 24">
          <a:extLst>
            <a:ext uri="{FF2B5EF4-FFF2-40B4-BE49-F238E27FC236}">
              <a16:creationId xmlns:a16="http://schemas.microsoft.com/office/drawing/2014/main" id="{46A79EAE-EB14-45AA-A18B-A826D97DB7CD}"/>
            </a:ext>
            <a:ext uri="{147F2762-F138-4A5C-976F-8EAC2B608ADB}">
              <a16:predDERef xmlns:a16="http://schemas.microsoft.com/office/drawing/2014/main" pred="{080A420D-AD46-4D6A-B617-1018E9018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19</xdr:col>
      <xdr:colOff>1808</xdr:colOff>
      <xdr:row>101</xdr:row>
      <xdr:rowOff>27213</xdr:rowOff>
    </xdr:from>
    <xdr:to>
      <xdr:col>24</xdr:col>
      <xdr:colOff>336094</xdr:colOff>
      <xdr:row>111</xdr:row>
      <xdr:rowOff>142513</xdr:rowOff>
    </xdr:to>
    <xdr:graphicFrame macro="">
      <xdr:nvGraphicFramePr>
        <xdr:cNvPr id="27" name="Chart 25">
          <a:extLst>
            <a:ext uri="{FF2B5EF4-FFF2-40B4-BE49-F238E27FC236}">
              <a16:creationId xmlns:a16="http://schemas.microsoft.com/office/drawing/2014/main" id="{27AD7C50-DE4B-4DE0-B290-6809F663069D}"/>
            </a:ext>
            <a:ext uri="{147F2762-F138-4A5C-976F-8EAC2B608ADB}">
              <a16:predDERef xmlns:a16="http://schemas.microsoft.com/office/drawing/2014/main" pred="{08B4BD22-CD94-45E5-A323-32804FB21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395514</xdr:colOff>
      <xdr:row>101</xdr:row>
      <xdr:rowOff>45358</xdr:rowOff>
    </xdr:from>
    <xdr:to>
      <xdr:col>28</xdr:col>
      <xdr:colOff>547914</xdr:colOff>
      <xdr:row>111</xdr:row>
      <xdr:rowOff>144765</xdr:rowOff>
    </xdr:to>
    <xdr:graphicFrame macro="">
      <xdr:nvGraphicFramePr>
        <xdr:cNvPr id="29" name="Chart 37">
          <a:extLst>
            <a:ext uri="{FF2B5EF4-FFF2-40B4-BE49-F238E27FC236}">
              <a16:creationId xmlns:a16="http://schemas.microsoft.com/office/drawing/2014/main" id="{A510E7D1-4360-4C49-A338-EDF7EA35C80E}"/>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571500</xdr:colOff>
      <xdr:row>113</xdr:row>
      <xdr:rowOff>36284</xdr:rowOff>
    </xdr:from>
    <xdr:to>
      <xdr:col>5</xdr:col>
      <xdr:colOff>466834</xdr:colOff>
      <xdr:row>123</xdr:row>
      <xdr:rowOff>151584</xdr:rowOff>
    </xdr:to>
    <xdr:graphicFrame macro="">
      <xdr:nvGraphicFramePr>
        <xdr:cNvPr id="30" name="Chart 22">
          <a:extLst>
            <a:ext uri="{FF2B5EF4-FFF2-40B4-BE49-F238E27FC236}">
              <a16:creationId xmlns:a16="http://schemas.microsoft.com/office/drawing/2014/main" id="{1A9EB39B-1B9F-4459-B9F5-616A32852A19}"/>
            </a:ext>
            <a:ext uri="{147F2762-F138-4A5C-976F-8EAC2B608ADB}">
              <a16:predDERef xmlns:a16="http://schemas.microsoft.com/office/drawing/2014/main" pred="{ADFF02CA-C7C8-436C-A19D-306C69FD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485775</xdr:colOff>
      <xdr:row>113</xdr:row>
      <xdr:rowOff>45809</xdr:rowOff>
    </xdr:from>
    <xdr:to>
      <xdr:col>11</xdr:col>
      <xdr:colOff>142425</xdr:colOff>
      <xdr:row>123</xdr:row>
      <xdr:rowOff>161109</xdr:rowOff>
    </xdr:to>
    <xdr:graphicFrame macro="">
      <xdr:nvGraphicFramePr>
        <xdr:cNvPr id="31" name="Chart 23">
          <a:extLst>
            <a:ext uri="{FF2B5EF4-FFF2-40B4-BE49-F238E27FC236}">
              <a16:creationId xmlns:a16="http://schemas.microsoft.com/office/drawing/2014/main" id="{541A2D35-5ED1-41AB-A725-EED987D59929}"/>
            </a:ext>
            <a:ext uri="{147F2762-F138-4A5C-976F-8EAC2B608ADB}">
              <a16:predDERef xmlns:a16="http://schemas.microsoft.com/office/drawing/2014/main" pred="{8E392F38-120E-4061-AF8C-C20133D4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11</xdr:col>
      <xdr:colOff>196850</xdr:colOff>
      <xdr:row>113</xdr:row>
      <xdr:rowOff>36284</xdr:rowOff>
    </xdr:from>
    <xdr:to>
      <xdr:col>18</xdr:col>
      <xdr:colOff>643683</xdr:colOff>
      <xdr:row>123</xdr:row>
      <xdr:rowOff>151584</xdr:rowOff>
    </xdr:to>
    <xdr:graphicFrame macro="">
      <xdr:nvGraphicFramePr>
        <xdr:cNvPr id="32" name="Chart 24">
          <a:extLst>
            <a:ext uri="{FF2B5EF4-FFF2-40B4-BE49-F238E27FC236}">
              <a16:creationId xmlns:a16="http://schemas.microsoft.com/office/drawing/2014/main" id="{4A4761E4-86BC-4306-B122-1689FA995196}"/>
            </a:ext>
            <a:ext uri="{147F2762-F138-4A5C-976F-8EAC2B608ADB}">
              <a16:predDERef xmlns:a16="http://schemas.microsoft.com/office/drawing/2014/main" pred="{080A420D-AD46-4D6A-B617-1018E9018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19</xdr:col>
      <xdr:colOff>1808</xdr:colOff>
      <xdr:row>113</xdr:row>
      <xdr:rowOff>36284</xdr:rowOff>
    </xdr:from>
    <xdr:to>
      <xdr:col>24</xdr:col>
      <xdr:colOff>336094</xdr:colOff>
      <xdr:row>123</xdr:row>
      <xdr:rowOff>151584</xdr:rowOff>
    </xdr:to>
    <xdr:graphicFrame macro="">
      <xdr:nvGraphicFramePr>
        <xdr:cNvPr id="33" name="Chart 25">
          <a:extLst>
            <a:ext uri="{FF2B5EF4-FFF2-40B4-BE49-F238E27FC236}">
              <a16:creationId xmlns:a16="http://schemas.microsoft.com/office/drawing/2014/main" id="{48670442-6F08-4003-864A-C89EB43EE5C8}"/>
            </a:ext>
            <a:ext uri="{147F2762-F138-4A5C-976F-8EAC2B608ADB}">
              <a16:predDERef xmlns:a16="http://schemas.microsoft.com/office/drawing/2014/main" pred="{08B4BD22-CD94-45E5-A323-32804FB21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24</xdr:col>
      <xdr:colOff>377373</xdr:colOff>
      <xdr:row>113</xdr:row>
      <xdr:rowOff>45357</xdr:rowOff>
    </xdr:from>
    <xdr:to>
      <xdr:col>28</xdr:col>
      <xdr:colOff>529773</xdr:colOff>
      <xdr:row>123</xdr:row>
      <xdr:rowOff>144764</xdr:rowOff>
    </xdr:to>
    <xdr:graphicFrame macro="">
      <xdr:nvGraphicFramePr>
        <xdr:cNvPr id="35" name="Chart 37">
          <a:extLst>
            <a:ext uri="{FF2B5EF4-FFF2-40B4-BE49-F238E27FC236}">
              <a16:creationId xmlns:a16="http://schemas.microsoft.com/office/drawing/2014/main" id="{E3EDD39F-79FD-440D-BACD-958CF86269AC}"/>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571500</xdr:colOff>
      <xdr:row>41</xdr:row>
      <xdr:rowOff>18142</xdr:rowOff>
    </xdr:from>
    <xdr:to>
      <xdr:col>5</xdr:col>
      <xdr:colOff>466834</xdr:colOff>
      <xdr:row>51</xdr:row>
      <xdr:rowOff>133442</xdr:rowOff>
    </xdr:to>
    <xdr:graphicFrame macro="">
      <xdr:nvGraphicFramePr>
        <xdr:cNvPr id="34" name="Chart 27">
          <a:extLst>
            <a:ext uri="{FF2B5EF4-FFF2-40B4-BE49-F238E27FC236}">
              <a16:creationId xmlns:a16="http://schemas.microsoft.com/office/drawing/2014/main" id="{9F8B151F-F81F-4C39-9819-166EF221B014}"/>
            </a:ext>
            <a:ext uri="{147F2762-F138-4A5C-976F-8EAC2B608ADB}">
              <a16:predDERef xmlns:a16="http://schemas.microsoft.com/office/drawing/2014/main" pred="{ADFF02CA-C7C8-436C-A19D-306C69FD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501650</xdr:colOff>
      <xdr:row>41</xdr:row>
      <xdr:rowOff>18142</xdr:rowOff>
    </xdr:from>
    <xdr:to>
      <xdr:col>11</xdr:col>
      <xdr:colOff>164650</xdr:colOff>
      <xdr:row>51</xdr:row>
      <xdr:rowOff>133442</xdr:rowOff>
    </xdr:to>
    <xdr:graphicFrame macro="">
      <xdr:nvGraphicFramePr>
        <xdr:cNvPr id="13" name="Chart 28">
          <a:extLst>
            <a:ext uri="{FF2B5EF4-FFF2-40B4-BE49-F238E27FC236}">
              <a16:creationId xmlns:a16="http://schemas.microsoft.com/office/drawing/2014/main" id="{8139628D-911A-464E-8754-5DA1D8D795FC}"/>
            </a:ext>
            <a:ext uri="{147F2762-F138-4A5C-976F-8EAC2B608ADB}">
              <a16:predDERef xmlns:a16="http://schemas.microsoft.com/office/drawing/2014/main" pred="{8E392F38-120E-4061-AF8C-C20133D4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11</xdr:col>
      <xdr:colOff>196850</xdr:colOff>
      <xdr:row>41</xdr:row>
      <xdr:rowOff>18142</xdr:rowOff>
    </xdr:from>
    <xdr:to>
      <xdr:col>18</xdr:col>
      <xdr:colOff>643683</xdr:colOff>
      <xdr:row>51</xdr:row>
      <xdr:rowOff>133442</xdr:rowOff>
    </xdr:to>
    <xdr:graphicFrame macro="">
      <xdr:nvGraphicFramePr>
        <xdr:cNvPr id="20" name="Chart 29">
          <a:extLst>
            <a:ext uri="{FF2B5EF4-FFF2-40B4-BE49-F238E27FC236}">
              <a16:creationId xmlns:a16="http://schemas.microsoft.com/office/drawing/2014/main" id="{A18019E8-E06D-411D-BFDB-80C6FD1F99AC}"/>
            </a:ext>
            <a:ext uri="{147F2762-F138-4A5C-976F-8EAC2B608ADB}">
              <a16:predDERef xmlns:a16="http://schemas.microsoft.com/office/drawing/2014/main" pred="{080A420D-AD46-4D6A-B617-1018E9018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18</xdr:col>
      <xdr:colOff>643340</xdr:colOff>
      <xdr:row>41</xdr:row>
      <xdr:rowOff>18142</xdr:rowOff>
    </xdr:from>
    <xdr:to>
      <xdr:col>24</xdr:col>
      <xdr:colOff>361406</xdr:colOff>
      <xdr:row>51</xdr:row>
      <xdr:rowOff>133442</xdr:rowOff>
    </xdr:to>
    <xdr:graphicFrame macro="">
      <xdr:nvGraphicFramePr>
        <xdr:cNvPr id="28" name="Chart 30">
          <a:extLst>
            <a:ext uri="{FF2B5EF4-FFF2-40B4-BE49-F238E27FC236}">
              <a16:creationId xmlns:a16="http://schemas.microsoft.com/office/drawing/2014/main" id="{20C7A7CB-0EBC-436D-9A76-80A6C9539863}"/>
            </a:ext>
            <a:ext uri="{147F2762-F138-4A5C-976F-8EAC2B608ADB}">
              <a16:predDERef xmlns:a16="http://schemas.microsoft.com/office/drawing/2014/main" pred="{08B4BD22-CD94-45E5-A323-32804FB21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24</xdr:col>
      <xdr:colOff>422728</xdr:colOff>
      <xdr:row>41</xdr:row>
      <xdr:rowOff>25762</xdr:rowOff>
    </xdr:from>
    <xdr:to>
      <xdr:col>28</xdr:col>
      <xdr:colOff>575128</xdr:colOff>
      <xdr:row>51</xdr:row>
      <xdr:rowOff>126439</xdr:rowOff>
    </xdr:to>
    <xdr:graphicFrame macro="">
      <xdr:nvGraphicFramePr>
        <xdr:cNvPr id="73" name="Chart 38">
          <a:extLst>
            <a:ext uri="{FF2B5EF4-FFF2-40B4-BE49-F238E27FC236}">
              <a16:creationId xmlns:a16="http://schemas.microsoft.com/office/drawing/2014/main" id="{DD4B3BF2-8E33-43CF-868C-BD6643C2A715}"/>
            </a:ext>
            <a:ext uri="{147F2762-F138-4A5C-976F-8EAC2B608ADB}">
              <a16:predDERef xmlns:a16="http://schemas.microsoft.com/office/drawing/2014/main" pred="{BAA36A12-3F7A-4551-969A-4933143B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43</xdr:col>
      <xdr:colOff>0</xdr:colOff>
      <xdr:row>1</xdr:row>
      <xdr:rowOff>1</xdr:rowOff>
    </xdr:from>
    <xdr:to>
      <xdr:col>54</xdr:col>
      <xdr:colOff>372803</xdr:colOff>
      <xdr:row>14</xdr:row>
      <xdr:rowOff>177522</xdr:rowOff>
    </xdr:to>
    <xdr:graphicFrame macro="">
      <xdr:nvGraphicFramePr>
        <xdr:cNvPr id="37" name="Chart 36">
          <a:extLst>
            <a:ext uri="{FF2B5EF4-FFF2-40B4-BE49-F238E27FC236}">
              <a16:creationId xmlns:a16="http://schemas.microsoft.com/office/drawing/2014/main" id="{966710C4-91B6-48B0-A944-EE8A994C6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54</xdr:col>
      <xdr:colOff>385483</xdr:colOff>
      <xdr:row>1</xdr:row>
      <xdr:rowOff>53789</xdr:rowOff>
    </xdr:from>
    <xdr:to>
      <xdr:col>62</xdr:col>
      <xdr:colOff>387088</xdr:colOff>
      <xdr:row>14</xdr:row>
      <xdr:rowOff>175507</xdr:rowOff>
    </xdr:to>
    <xdr:graphicFrame macro="">
      <xdr:nvGraphicFramePr>
        <xdr:cNvPr id="45" name="Chart 44">
          <a:extLst>
            <a:ext uri="{FF2B5EF4-FFF2-40B4-BE49-F238E27FC236}">
              <a16:creationId xmlns:a16="http://schemas.microsoft.com/office/drawing/2014/main" id="{DD453406-74E7-4A43-9571-8D1B4BAC9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62</xdr:col>
      <xdr:colOff>493060</xdr:colOff>
      <xdr:row>1</xdr:row>
      <xdr:rowOff>21740</xdr:rowOff>
    </xdr:from>
    <xdr:to>
      <xdr:col>70</xdr:col>
      <xdr:colOff>519953</xdr:colOff>
      <xdr:row>15</xdr:row>
      <xdr:rowOff>174066</xdr:rowOff>
    </xdr:to>
    <xdr:graphicFrame macro="">
      <xdr:nvGraphicFramePr>
        <xdr:cNvPr id="38" name="Chart 37">
          <a:extLst>
            <a:ext uri="{FF2B5EF4-FFF2-40B4-BE49-F238E27FC236}">
              <a16:creationId xmlns:a16="http://schemas.microsoft.com/office/drawing/2014/main" id="{890A5F58-C034-4675-9FE0-A221BD16C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70</xdr:col>
      <xdr:colOff>564779</xdr:colOff>
      <xdr:row>1</xdr:row>
      <xdr:rowOff>12849</xdr:rowOff>
    </xdr:from>
    <xdr:to>
      <xdr:col>81</xdr:col>
      <xdr:colOff>395718</xdr:colOff>
      <xdr:row>15</xdr:row>
      <xdr:rowOff>163905</xdr:rowOff>
    </xdr:to>
    <xdr:graphicFrame macro="">
      <xdr:nvGraphicFramePr>
        <xdr:cNvPr id="3" name="Chart 2">
          <a:extLst>
            <a:ext uri="{FF2B5EF4-FFF2-40B4-BE49-F238E27FC236}">
              <a16:creationId xmlns:a16="http://schemas.microsoft.com/office/drawing/2014/main" id="{CA25A2B5-F601-4F84-8528-A403932D0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81</xdr:col>
      <xdr:colOff>420071</xdr:colOff>
      <xdr:row>1</xdr:row>
      <xdr:rowOff>15241</xdr:rowOff>
    </xdr:from>
    <xdr:to>
      <xdr:col>91</xdr:col>
      <xdr:colOff>259976</xdr:colOff>
      <xdr:row>15</xdr:row>
      <xdr:rowOff>137087</xdr:rowOff>
    </xdr:to>
    <xdr:graphicFrame macro="">
      <xdr:nvGraphicFramePr>
        <xdr:cNvPr id="43" name="Chart 42">
          <a:extLst>
            <a:ext uri="{FF2B5EF4-FFF2-40B4-BE49-F238E27FC236}">
              <a16:creationId xmlns:a16="http://schemas.microsoft.com/office/drawing/2014/main" id="{AFEAB09D-E135-4838-A16F-7DC01D76F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91</xdr:col>
      <xdr:colOff>295835</xdr:colOff>
      <xdr:row>1</xdr:row>
      <xdr:rowOff>26894</xdr:rowOff>
    </xdr:from>
    <xdr:to>
      <xdr:col>99</xdr:col>
      <xdr:colOff>105037</xdr:colOff>
      <xdr:row>15</xdr:row>
      <xdr:rowOff>162710</xdr:rowOff>
    </xdr:to>
    <xdr:graphicFrame macro="">
      <xdr:nvGraphicFramePr>
        <xdr:cNvPr id="46" name="Chart 45">
          <a:extLst>
            <a:ext uri="{FF2B5EF4-FFF2-40B4-BE49-F238E27FC236}">
              <a16:creationId xmlns:a16="http://schemas.microsoft.com/office/drawing/2014/main" id="{FBA60B8B-3F3F-4618-B8F6-EDF569E82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99</xdr:col>
      <xdr:colOff>142165</xdr:colOff>
      <xdr:row>1</xdr:row>
      <xdr:rowOff>35859</xdr:rowOff>
    </xdr:from>
    <xdr:to>
      <xdr:col>106</xdr:col>
      <xdr:colOff>624989</xdr:colOff>
      <xdr:row>15</xdr:row>
      <xdr:rowOff>178025</xdr:rowOff>
    </xdr:to>
    <xdr:graphicFrame macro="">
      <xdr:nvGraphicFramePr>
        <xdr:cNvPr id="47" name="Chart 46">
          <a:extLst>
            <a:ext uri="{FF2B5EF4-FFF2-40B4-BE49-F238E27FC236}">
              <a16:creationId xmlns:a16="http://schemas.microsoft.com/office/drawing/2014/main" id="{4E3B254E-801A-4040-A991-94598CDFA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106</xdr:col>
      <xdr:colOff>663389</xdr:colOff>
      <xdr:row>1</xdr:row>
      <xdr:rowOff>35859</xdr:rowOff>
    </xdr:from>
    <xdr:to>
      <xdr:col>115</xdr:col>
      <xdr:colOff>274022</xdr:colOff>
      <xdr:row>15</xdr:row>
      <xdr:rowOff>170405</xdr:rowOff>
    </xdr:to>
    <xdr:graphicFrame macro="">
      <xdr:nvGraphicFramePr>
        <xdr:cNvPr id="48" name="Chart 47">
          <a:extLst>
            <a:ext uri="{FF2B5EF4-FFF2-40B4-BE49-F238E27FC236}">
              <a16:creationId xmlns:a16="http://schemas.microsoft.com/office/drawing/2014/main" id="{EBB5DA74-8F0A-4D48-86D4-0E628906C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115</xdr:col>
      <xdr:colOff>315033</xdr:colOff>
      <xdr:row>1</xdr:row>
      <xdr:rowOff>78142</xdr:rowOff>
    </xdr:from>
    <xdr:to>
      <xdr:col>124</xdr:col>
      <xdr:colOff>158749</xdr:colOff>
      <xdr:row>15</xdr:row>
      <xdr:rowOff>192144</xdr:rowOff>
    </xdr:to>
    <xdr:graphicFrame macro="">
      <xdr:nvGraphicFramePr>
        <xdr:cNvPr id="49" name="Chart 48">
          <a:extLst>
            <a:ext uri="{FF2B5EF4-FFF2-40B4-BE49-F238E27FC236}">
              <a16:creationId xmlns:a16="http://schemas.microsoft.com/office/drawing/2014/main" id="{81E8537A-61CD-4E73-8F5A-F130FEA79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28</xdr:col>
      <xdr:colOff>669833</xdr:colOff>
      <xdr:row>17</xdr:row>
      <xdr:rowOff>0</xdr:rowOff>
    </xdr:from>
    <xdr:to>
      <xdr:col>39</xdr:col>
      <xdr:colOff>457199</xdr:colOff>
      <xdr:row>27</xdr:row>
      <xdr:rowOff>119743</xdr:rowOff>
    </xdr:to>
    <xdr:graphicFrame macro="">
      <xdr:nvGraphicFramePr>
        <xdr:cNvPr id="41" name="Chart 40">
          <a:extLst>
            <a:ext uri="{FF2B5EF4-FFF2-40B4-BE49-F238E27FC236}">
              <a16:creationId xmlns:a16="http://schemas.microsoft.com/office/drawing/2014/main" id="{916FA9CF-0558-422B-8CF4-EC4D752A6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39</xdr:col>
      <xdr:colOff>0</xdr:colOff>
      <xdr:row>17</xdr:row>
      <xdr:rowOff>1</xdr:rowOff>
    </xdr:from>
    <xdr:to>
      <xdr:col>47</xdr:col>
      <xdr:colOff>110836</xdr:colOff>
      <xdr:row>27</xdr:row>
      <xdr:rowOff>152401</xdr:rowOff>
    </xdr:to>
    <xdr:graphicFrame macro="">
      <xdr:nvGraphicFramePr>
        <xdr:cNvPr id="50" name="Chart 49">
          <a:extLst>
            <a:ext uri="{FF2B5EF4-FFF2-40B4-BE49-F238E27FC236}">
              <a16:creationId xmlns:a16="http://schemas.microsoft.com/office/drawing/2014/main" id="{54C1025D-CFE9-4FF6-835F-7872744B5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29</xdr:col>
      <xdr:colOff>0</xdr:colOff>
      <xdr:row>65</xdr:row>
      <xdr:rowOff>0</xdr:rowOff>
    </xdr:from>
    <xdr:to>
      <xdr:col>39</xdr:col>
      <xdr:colOff>450306</xdr:colOff>
      <xdr:row>75</xdr:row>
      <xdr:rowOff>121013</xdr:rowOff>
    </xdr:to>
    <xdr:graphicFrame macro="">
      <xdr:nvGraphicFramePr>
        <xdr:cNvPr id="51" name="Chart 50">
          <a:extLst>
            <a:ext uri="{FF2B5EF4-FFF2-40B4-BE49-F238E27FC236}">
              <a16:creationId xmlns:a16="http://schemas.microsoft.com/office/drawing/2014/main" id="{3E73FA6A-36EA-4757-8E5D-0446C2852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40</xdr:col>
      <xdr:colOff>0</xdr:colOff>
      <xdr:row>65</xdr:row>
      <xdr:rowOff>0</xdr:rowOff>
    </xdr:from>
    <xdr:to>
      <xdr:col>48</xdr:col>
      <xdr:colOff>109566</xdr:colOff>
      <xdr:row>75</xdr:row>
      <xdr:rowOff>152400</xdr:rowOff>
    </xdr:to>
    <xdr:graphicFrame macro="">
      <xdr:nvGraphicFramePr>
        <xdr:cNvPr id="52" name="Chart 51">
          <a:extLst>
            <a:ext uri="{FF2B5EF4-FFF2-40B4-BE49-F238E27FC236}">
              <a16:creationId xmlns:a16="http://schemas.microsoft.com/office/drawing/2014/main" id="{6D0C5CA5-048D-4318-9125-2912D7F06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28</xdr:col>
      <xdr:colOff>576942</xdr:colOff>
      <xdr:row>89</xdr:row>
      <xdr:rowOff>76200</xdr:rowOff>
    </xdr:from>
    <xdr:to>
      <xdr:col>39</xdr:col>
      <xdr:colOff>349794</xdr:colOff>
      <xdr:row>99</xdr:row>
      <xdr:rowOff>185420</xdr:rowOff>
    </xdr:to>
    <xdr:graphicFrame macro="">
      <xdr:nvGraphicFramePr>
        <xdr:cNvPr id="53" name="Chart 52">
          <a:extLst>
            <a:ext uri="{FF2B5EF4-FFF2-40B4-BE49-F238E27FC236}">
              <a16:creationId xmlns:a16="http://schemas.microsoft.com/office/drawing/2014/main" id="{AD1263E8-D1C7-4C7B-A13F-18B37DC3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39</xdr:col>
      <xdr:colOff>578212</xdr:colOff>
      <xdr:row>89</xdr:row>
      <xdr:rowOff>21772</xdr:rowOff>
    </xdr:from>
    <xdr:to>
      <xdr:col>48</xdr:col>
      <xdr:colOff>10324</xdr:colOff>
      <xdr:row>99</xdr:row>
      <xdr:rowOff>163649</xdr:rowOff>
    </xdr:to>
    <xdr:graphicFrame macro="">
      <xdr:nvGraphicFramePr>
        <xdr:cNvPr id="54" name="Chart 53">
          <a:extLst>
            <a:ext uri="{FF2B5EF4-FFF2-40B4-BE49-F238E27FC236}">
              <a16:creationId xmlns:a16="http://schemas.microsoft.com/office/drawing/2014/main" id="{71BBAE47-480F-48D3-BAF9-FF8B61A8E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9B700709-ACB3-4C71-8C20-ACBA4BF31A0C}">
    <nsvFilter filterId="{8AF482D8-69FE-4086-AE76-22B5DB2CE180}" ref="A4:AI5" tableId="1">
      <columnFilter colId="19" id="{84642B1F-163B-44FF-8479-C14A394239AC}">
        <filter colId="19">
          <x:filters>
            <x:filter val="subnational/national"/>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Mari Hickmann" id="{20386F46-B1EA-9F49-B569-015178435673}" userId="67e98df4518085b6" providerId="Windows Live"/>
  <person displayName="Mari Hickmann" id="{3E05BA65-BBCD-FB4B-9501-1788C1DF618A}" userId="S::mhickmann@maestral.org::407b254c-9c2a-4d4b-96ee-d09b3cb8a4e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F482D8-69FE-4086-AE76-22B5DB2CE180}" name="Table1" displayName="Table1" ref="A4:AI5" insertRow="1" totalsRowShown="0" headerRowDxfId="97" dataDxfId="96" tableBorderDxfId="95">
  <autoFilter ref="A4:AI5" xr:uid="{8AF482D8-69FE-4086-AE76-22B5DB2CE180}"/>
  <tableColumns count="35">
    <tableColumn id="1" xr3:uid="{33C0FBEE-E680-4E0A-993C-9A655D7B71B5}" name="Outcome  #" dataDxfId="94"/>
    <tableColumn id="2" xr3:uid="{BDC5E014-E565-4E97-9C96-C387EDACB815}" name="Positive or Negative Outcomes ​" dataDxfId="93"/>
    <tableColumn id="3" xr3:uid="{5AE6C407-B40F-4BA9-9410-5D5D28F8FF3F}" name="Relevance of the Outcome​" dataDxfId="92"/>
    <tableColumn id="4" xr3:uid="{F906993E-F911-4A51-B0F7-732D77790746}" name="CTWWC’s contribution to the Outcome​" dataDxfId="91"/>
    <tableColumn id="5" xr3:uid="{0875A26A-9A26-4F8F-BADB-4FF734329210}" name="Sources​" dataDxfId="90"/>
    <tableColumn id="6" xr3:uid="{AE6A08D3-4AE7-4FDE-90B9-D6CA1BDB87CE}" name="Outcomes (shortened)" dataDxfId="89"/>
    <tableColumn id="7" xr3:uid="{504D6971-6618-41F9-92D4-D58D86D3D280}" name="Harvester" dataDxfId="88"/>
    <tableColumn id="8" xr3:uid="{05F3733B-9D2C-43F2-9FFB-C699A2CDDE33}" name="Submitter" dataDxfId="87"/>
    <tableColumn id="9" xr3:uid="{C509221C-E556-4C96-B01C-2759EA513E7A}" name="Finalized?" dataDxfId="86"/>
    <tableColumn id="10" xr3:uid="{D312536F-7191-4DBF-9003-901D20990DEE}" name="CTWWC Team" dataDxfId="85"/>
    <tableColumn id="35" xr3:uid="{46CF2524-1483-4577-B388-FEDF7780C522}" name="Quarter of first contribution statement" dataDxfId="84"/>
    <tableColumn id="11" xr3:uid="{5B71A646-B0B0-4AB8-B931-84E9A9BF13C6}" name="Date of outcome" dataDxfId="83"/>
    <tableColumn id="36" xr3:uid="{A15941A4-0E38-41A8-957D-78ED59236412}" name="# of quarters between first contribution statement " dataDxfId="82"/>
    <tableColumn id="34" xr3:uid="{A6024AA4-A290-422A-857F-AD40A961076C}" name="Outcome FY" dataDxfId="81"/>
    <tableColumn id="12" xr3:uid="{601D9236-6052-4CC4-B89E-093E32BC56DB}" name="Type of Social Actor" dataDxfId="80"/>
    <tableColumn id="13" xr3:uid="{635F3445-4091-47AA-83BD-5B0865561428}" name="Type of behavior change" dataDxfId="79"/>
    <tableColumn id="30" xr3:uid="{171B32B0-1707-4A08-A974-F1CD94BE8B26}" name="Country/ Region/ Global" dataDxfId="78"/>
    <tableColumn id="32" xr3:uid="{4D91901E-DE7E-4E5B-9234-1D9241E5F834}" name="The Six Conditions of Systems Change (WORK IN PROGRESS)" dataDxfId="77"/>
    <tableColumn id="14" xr3:uid="{2C60AD93-7DBC-4BDA-ADF0-5A503D614E38}" name="Primary Strategic Objective" dataDxfId="76"/>
    <tableColumn id="29" xr3:uid="{84642B1F-163B-44FF-8479-C14A394239AC}" name="Level of influence" dataDxfId="75"/>
    <tableColumn id="15" xr3:uid="{A7FA3298-FFB4-4711-B794-414FC7F2CC4C}" name="Output contribution 1" dataDxfId="74"/>
    <tableColumn id="16" xr3:uid="{62BF69C7-D10C-40B3-80EA-7F8F04019869}" name="Output contribution 2" dataDxfId="73"/>
    <tableColumn id="17" xr3:uid="{6981AFAE-6DF6-4ECF-B798-A0BD7CF000BF}" name="Output contribution 3" dataDxfId="72"/>
    <tableColumn id="18" xr3:uid="{8B014257-1E61-4CB4-AEE5-4AECCF7C56C2}" name="Output contribution 4" dataDxfId="71"/>
    <tableColumn id="19" xr3:uid="{5D61C91F-0E2A-4DF9-87FF-4CEA78B6C8E3}" name="Output contribution 5" dataDxfId="70"/>
    <tableColumn id="21" xr3:uid="{715BAF48-3C8E-478E-8D76-16BA1B0524C4}" name="Evidence log" dataDxfId="69"/>
    <tableColumn id="27" xr3:uid="{A0C7A9AC-A921-4CE1-9765-576D687AB9E6}" name="Entered into visual analysis (Miro)" dataDxfId="68"/>
    <tableColumn id="33" xr3:uid="{355C2D04-926E-4755-8FCF-51E970E23DC9}" name="Reported against CRS KPIs" dataDxfId="67"/>
    <tableColumn id="28" xr3:uid="{E88F5784-BA39-4CAE-80A8-07336FE10A53}" name="Considered for substantiation " dataDxfId="66"/>
    <tableColumn id="31" xr3:uid="{3D99D755-761E-44BE-B9C0-2ACE6A421852}" name="Substantiated outcomes" dataDxfId="65"/>
    <tableColumn id="22" xr3:uid="{D273016A-537F-4D0D-906F-0246113388F9}" name="Contribution Score (round 1) " dataDxfId="64"/>
    <tableColumn id="23" xr3:uid="{0D7044D0-C78A-45AD-99C3-1A5044904A21}" name="Contribution Score (round 2) " dataDxfId="63"/>
    <tableColumn id="24" xr3:uid="{06A282FD-2182-4EF6-810C-1960DEACFD6C}" name="IR" dataDxfId="62"/>
    <tableColumn id="25" xr3:uid="{7BE4B970-CB66-47E3-A6ED-191ABC665449}" name="Mari's tracking - sent to Carmen" dataDxfId="61"/>
    <tableColumn id="26" xr3:uid="{AFDC9EC3-2AE2-4F9F-B850-7F6F3062E252}" name="Notes and questions for follow up" dataDxfId="6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FDB542-0916-4202-87F8-D2CE05A0718C}" name="Table2" displayName="Table2" ref="A17:A21" totalsRowShown="0" headerRowDxfId="59" dataDxfId="58">
  <autoFilter ref="A17:A21" xr:uid="{9CFDB542-0916-4202-87F8-D2CE05A0718C}"/>
  <tableColumns count="1">
    <tableColumn id="1" xr3:uid="{4630F23E-E07B-45E5-86E0-1CF24118987F}" name="Geographical level of infleunce" dataDxfId="57"/>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88EEDF-448D-436B-B624-B841D152F0D0}" name="Table3" displayName="Table3" ref="A1:A14" totalsRowShown="0" headerRowDxfId="56" dataDxfId="55">
  <autoFilter ref="A1:A14" xr:uid="{5688EEDF-448D-436B-B624-B841D152F0D0}"/>
  <tableColumns count="1">
    <tableColumn id="1" xr3:uid="{B05E2D1E-9B06-4750-8B02-718BDC0C524C}" name="Social Actor Type" dataDxfId="54"/>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4FCA1C-7D06-41FC-AAE5-FE6527ABB71C}" name="Table4" displayName="Table4" ref="C1:C29" totalsRowShown="0" headerRowDxfId="53">
  <autoFilter ref="C1:C29" xr:uid="{B94FCA1C-7D06-41FC-AAE5-FE6527ABB71C}"/>
  <tableColumns count="1">
    <tableColumn id="1" xr3:uid="{5BA17056-ABF8-4206-A98C-683DBEC67F73}" name="Output indicators"/>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C33C10-3EC9-4E2E-B136-21E39D98BDC0}" name="Table5" displayName="Table5" ref="E1:E9" totalsRowShown="0" headerRowDxfId="52">
  <autoFilter ref="E1:E9" xr:uid="{0EC33C10-3EC9-4E2E-B136-21E39D98BDC0}"/>
  <tableColumns count="1">
    <tableColumn id="1" xr3:uid="{C23E31B8-B09D-4BA3-9A02-C3BABC7C4348}" name="Type of behavior change"/>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5A96A41-95A1-4B4D-951F-37B17D07FFC9}" name="Table6" displayName="Table6" ref="K1:K10" totalsRowShown="0" headerRowDxfId="51">
  <autoFilter ref="K1:K10" xr:uid="{D5A96A41-95A1-4B4D-951F-37B17D07FFC9}"/>
  <tableColumns count="1">
    <tableColumn id="1" xr3:uid="{C885C77D-4869-42C6-B913-49EC93AD23D8}" name="Country/ Region/ Global"/>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B6B265A-685D-4626-BE46-7E3C9EE6FC2F}" name="Table7" displayName="Table7" ref="N1:N5" totalsRowShown="0" headerRowDxfId="50">
  <autoFilter ref="N1:N5" xr:uid="{1B6B265A-685D-4626-BE46-7E3C9EE6FC2F}"/>
  <tableColumns count="1">
    <tableColumn id="1" xr3:uid="{175EB862-F7A7-4E25-B709-438AF9E3CD89}" name="Substantiated outcomes"/>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B1A910-998F-4EF1-9ACC-24122F87AB46}" name="Table8" displayName="Table8" ref="A26:A32" totalsRowShown="0" headerRowDxfId="49">
  <autoFilter ref="A26:A32" xr:uid="{56B1A910-998F-4EF1-9ACC-24122F87AB46}"/>
  <tableColumns count="1">
    <tableColumn id="1" xr3:uid="{4359129C-C809-47DD-BC06-971A779BAE55}" name="The Six Conditions of Systems Change"/>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CTWWC 2">
      <a:dk1>
        <a:srgbClr val="000000"/>
      </a:dk1>
      <a:lt1>
        <a:srgbClr val="FFFFFF"/>
      </a:lt1>
      <a:dk2>
        <a:srgbClr val="44546A"/>
      </a:dk2>
      <a:lt2>
        <a:srgbClr val="E7E6E6"/>
      </a:lt2>
      <a:accent1>
        <a:srgbClr val="00468B"/>
      </a:accent1>
      <a:accent2>
        <a:srgbClr val="79A02C"/>
      </a:accent2>
      <a:accent3>
        <a:srgbClr val="A25EB5"/>
      </a:accent3>
      <a:accent4>
        <a:srgbClr val="7095AD"/>
      </a:accent4>
      <a:accent5>
        <a:srgbClr val="D3DEE5"/>
      </a:accent5>
      <a:accent6>
        <a:srgbClr val="E7F0DD"/>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TWWC 2">
    <a:dk1>
      <a:srgbClr val="000000"/>
    </a:dk1>
    <a:lt1>
      <a:srgbClr val="FFFFFF"/>
    </a:lt1>
    <a:dk2>
      <a:srgbClr val="44546A"/>
    </a:dk2>
    <a:lt2>
      <a:srgbClr val="E7E6E6"/>
    </a:lt2>
    <a:accent1>
      <a:srgbClr val="00468B"/>
    </a:accent1>
    <a:accent2>
      <a:srgbClr val="79A02C"/>
    </a:accent2>
    <a:accent3>
      <a:srgbClr val="A25EB5"/>
    </a:accent3>
    <a:accent4>
      <a:srgbClr val="7095AD"/>
    </a:accent4>
    <a:accent5>
      <a:srgbClr val="D3DEE5"/>
    </a:accent5>
    <a:accent6>
      <a:srgbClr val="E7F0DD"/>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TWWC 2">
    <a:dk1>
      <a:srgbClr val="000000"/>
    </a:dk1>
    <a:lt1>
      <a:srgbClr val="FFFFFF"/>
    </a:lt1>
    <a:dk2>
      <a:srgbClr val="44546A"/>
    </a:dk2>
    <a:lt2>
      <a:srgbClr val="E7E6E6"/>
    </a:lt2>
    <a:accent1>
      <a:srgbClr val="00468B"/>
    </a:accent1>
    <a:accent2>
      <a:srgbClr val="79A02C"/>
    </a:accent2>
    <a:accent3>
      <a:srgbClr val="A25EB5"/>
    </a:accent3>
    <a:accent4>
      <a:srgbClr val="7095AD"/>
    </a:accent4>
    <a:accent5>
      <a:srgbClr val="D3DEE5"/>
    </a:accent5>
    <a:accent6>
      <a:srgbClr val="E7F0DD"/>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TWWC 2">
    <a:dk1>
      <a:srgbClr val="000000"/>
    </a:dk1>
    <a:lt1>
      <a:srgbClr val="FFFFFF"/>
    </a:lt1>
    <a:dk2>
      <a:srgbClr val="44546A"/>
    </a:dk2>
    <a:lt2>
      <a:srgbClr val="E7E6E6"/>
    </a:lt2>
    <a:accent1>
      <a:srgbClr val="00468B"/>
    </a:accent1>
    <a:accent2>
      <a:srgbClr val="79A02C"/>
    </a:accent2>
    <a:accent3>
      <a:srgbClr val="A25EB5"/>
    </a:accent3>
    <a:accent4>
      <a:srgbClr val="7095AD"/>
    </a:accent4>
    <a:accent5>
      <a:srgbClr val="D3DEE5"/>
    </a:accent5>
    <a:accent6>
      <a:srgbClr val="E7F0DD"/>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TWWC 2">
    <a:dk1>
      <a:srgbClr val="000000"/>
    </a:dk1>
    <a:lt1>
      <a:srgbClr val="FFFFFF"/>
    </a:lt1>
    <a:dk2>
      <a:srgbClr val="44546A"/>
    </a:dk2>
    <a:lt2>
      <a:srgbClr val="E7E6E6"/>
    </a:lt2>
    <a:accent1>
      <a:srgbClr val="00468B"/>
    </a:accent1>
    <a:accent2>
      <a:srgbClr val="79A02C"/>
    </a:accent2>
    <a:accent3>
      <a:srgbClr val="A25EB5"/>
    </a:accent3>
    <a:accent4>
      <a:srgbClr val="7095AD"/>
    </a:accent4>
    <a:accent5>
      <a:srgbClr val="D3DEE5"/>
    </a:accent5>
    <a:accent6>
      <a:srgbClr val="E7F0DD"/>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L4" dT="2022-10-24T16:14:08.47" personId="{20386F46-B1EA-9F49-B569-015178435673}" id="{D8F65405-6476-1C4C-918A-0A9C1BCD9482}">
    <text>Use CTWWC year; Oct - Dec = Q1; Jan - March = Q2; April - June = Q3; July - Sept = Q4</text>
  </threadedComment>
  <threadedComment ref="AG4" dT="2021-05-27T20:49:41.92" personId="{3E05BA65-BBCD-FB4B-9501-1788C1DF618A}" id="{8E0E6030-FA27-404D-9D65-A67190BCB1ED}">
    <text>Maybe IR is too refined and we should stick to SO. Some of these don’t fit in our SO outcomes per se and easier to categorize as national change vs demonstration area</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121A-F1B9-1342-90BE-DF0F8DB00543}">
  <sheetPr>
    <pageSetUpPr fitToPage="1"/>
  </sheetPr>
  <dimension ref="A1:AZ15"/>
  <sheetViews>
    <sheetView showGridLines="0" tabSelected="1" zoomScale="85" zoomScaleNormal="85" zoomScaleSheetLayoutView="38" workbookViewId="0">
      <pane xSplit="2" ySplit="4" topLeftCell="C5" activePane="bottomRight" state="frozen"/>
      <selection pane="topRight" activeCell="C1" sqref="C1"/>
      <selection pane="bottomLeft" activeCell="A5" sqref="A5"/>
      <selection pane="bottomRight" activeCell="Z7" sqref="Z7"/>
    </sheetView>
  </sheetViews>
  <sheetFormatPr baseColWidth="10" defaultColWidth="10.5" defaultRowHeight="40" customHeight="1" x14ac:dyDescent="0.2"/>
  <cols>
    <col min="1" max="1" width="9.5" style="10" customWidth="1"/>
    <col min="2" max="2" width="28.33203125" style="11" customWidth="1"/>
    <col min="3" max="3" width="24.83203125" style="11" customWidth="1"/>
    <col min="4" max="4" width="24.6640625" style="11" customWidth="1"/>
    <col min="5" max="5" width="19.33203125" style="7" customWidth="1"/>
    <col min="6" max="6" width="24.83203125" style="11" customWidth="1"/>
    <col min="7" max="7" width="12.83203125" style="11" customWidth="1"/>
    <col min="8" max="8" width="11.1640625" style="11" customWidth="1"/>
    <col min="9" max="9" width="7" style="7" customWidth="1"/>
    <col min="10" max="11" width="10.33203125" style="7" customWidth="1"/>
    <col min="12" max="12" width="7" style="7" customWidth="1"/>
    <col min="13" max="13" width="5.6640625" style="7" customWidth="1"/>
    <col min="14" max="14" width="6.33203125" style="7" customWidth="1"/>
    <col min="15" max="15" width="15.33203125" style="11" customWidth="1"/>
    <col min="16" max="16" width="14.83203125" style="7" customWidth="1"/>
    <col min="17" max="17" width="11.1640625" style="11" customWidth="1"/>
    <col min="18" max="18" width="12.33203125" customWidth="1"/>
    <col min="19" max="19" width="8.1640625" style="7" customWidth="1"/>
    <col min="20" max="20" width="14.83203125" style="7" customWidth="1"/>
    <col min="21" max="21" width="20.5" style="11" customWidth="1"/>
    <col min="22" max="22" width="20.5" style="23" customWidth="1"/>
    <col min="23" max="25" width="20.5" style="24" customWidth="1"/>
    <col min="26" max="26" width="19.5" style="11" customWidth="1"/>
    <col min="27" max="27" width="8" style="7" customWidth="1"/>
    <col min="28" max="28" width="10" style="7" customWidth="1"/>
    <col min="29" max="29" width="13.5" style="7" customWidth="1"/>
    <col min="30" max="30" width="16.33203125" style="49" hidden="1" customWidth="1"/>
    <col min="31" max="31" width="48" style="7" hidden="1" customWidth="1"/>
    <col min="32" max="33" width="27" style="11" hidden="1" customWidth="1"/>
    <col min="34" max="34" width="16.33203125" style="7" hidden="1" customWidth="1"/>
    <col min="35" max="35" width="25.83203125" style="7" customWidth="1"/>
    <col min="36" max="16384" width="10.5" style="7"/>
  </cols>
  <sheetData>
    <row r="1" spans="1:52" s="51" customFormat="1" ht="20.25" customHeight="1" thickBot="1" x14ac:dyDescent="0.25">
      <c r="A1" s="50" t="s">
        <v>14</v>
      </c>
      <c r="B1" s="9"/>
      <c r="C1" s="9"/>
      <c r="D1" s="9"/>
      <c r="E1" s="8"/>
      <c r="F1" s="9"/>
      <c r="G1" s="9"/>
      <c r="H1" s="9"/>
      <c r="I1" s="8"/>
      <c r="J1" s="8"/>
      <c r="K1" s="8"/>
      <c r="L1" s="8"/>
      <c r="M1" s="8"/>
      <c r="N1" s="8"/>
      <c r="O1" s="9"/>
      <c r="P1" s="8"/>
      <c r="Q1" s="9"/>
      <c r="R1" s="8"/>
      <c r="S1" s="8"/>
      <c r="T1" s="9"/>
      <c r="U1" s="159"/>
      <c r="V1" s="159"/>
      <c r="W1" s="159"/>
      <c r="X1" s="159"/>
      <c r="Y1" s="159"/>
      <c r="Z1" s="9"/>
      <c r="AA1" s="8"/>
      <c r="AB1" s="8"/>
      <c r="AC1" s="45"/>
      <c r="AD1" s="8"/>
      <c r="AE1" s="9"/>
      <c r="AF1" s="9"/>
      <c r="AG1" s="8"/>
      <c r="AH1" s="8"/>
    </row>
    <row r="2" spans="1:52" ht="25" customHeight="1" x14ac:dyDescent="0.2">
      <c r="A2" s="35" t="s">
        <v>15</v>
      </c>
      <c r="B2" s="28" t="s">
        <v>16</v>
      </c>
      <c r="C2" s="28" t="s">
        <v>17</v>
      </c>
      <c r="D2" s="28" t="s">
        <v>18</v>
      </c>
      <c r="E2" s="28" t="s">
        <v>19</v>
      </c>
      <c r="F2" s="28" t="s">
        <v>20</v>
      </c>
      <c r="G2" s="28" t="s">
        <v>21</v>
      </c>
      <c r="H2" s="28" t="s">
        <v>22</v>
      </c>
      <c r="I2" s="28" t="s">
        <v>23</v>
      </c>
      <c r="J2" s="28" t="s">
        <v>24</v>
      </c>
      <c r="K2" s="28" t="s">
        <v>25</v>
      </c>
      <c r="L2" s="28" t="s">
        <v>26</v>
      </c>
      <c r="M2" s="28" t="s">
        <v>25</v>
      </c>
      <c r="N2" s="28" t="s">
        <v>25</v>
      </c>
      <c r="O2" s="28" t="s">
        <v>27</v>
      </c>
      <c r="P2" s="28" t="s">
        <v>28</v>
      </c>
      <c r="Q2" s="28" t="s">
        <v>29</v>
      </c>
      <c r="R2" s="28"/>
      <c r="S2" s="28" t="s">
        <v>30</v>
      </c>
      <c r="T2" s="28" t="s">
        <v>31</v>
      </c>
      <c r="U2" s="32" t="s">
        <v>32</v>
      </c>
      <c r="V2" s="32"/>
      <c r="W2" s="32"/>
      <c r="X2" s="32"/>
      <c r="Y2" s="32"/>
      <c r="Z2" s="28" t="s">
        <v>33</v>
      </c>
      <c r="AA2" s="28" t="s">
        <v>34</v>
      </c>
      <c r="AB2" s="28" t="s">
        <v>35</v>
      </c>
      <c r="AC2" s="46" t="s">
        <v>36</v>
      </c>
      <c r="AD2" s="28"/>
      <c r="AE2" s="28" t="s">
        <v>37</v>
      </c>
      <c r="AF2" s="28" t="s">
        <v>38</v>
      </c>
      <c r="AG2" s="41"/>
      <c r="AH2" s="43"/>
      <c r="AI2" s="29"/>
    </row>
    <row r="3" spans="1:52" ht="25" customHeight="1" thickBot="1" x14ac:dyDescent="0.25">
      <c r="A3" s="36" t="s">
        <v>39</v>
      </c>
      <c r="B3" s="37" t="s">
        <v>40</v>
      </c>
      <c r="C3" s="37" t="s">
        <v>41</v>
      </c>
      <c r="D3" s="37" t="s">
        <v>42</v>
      </c>
      <c r="E3" s="38" t="s">
        <v>43</v>
      </c>
      <c r="F3" s="37" t="s">
        <v>44</v>
      </c>
      <c r="G3" s="38" t="s">
        <v>45</v>
      </c>
      <c r="H3" s="38" t="s">
        <v>46</v>
      </c>
      <c r="I3" s="38" t="s">
        <v>47</v>
      </c>
      <c r="J3" s="38" t="s">
        <v>47</v>
      </c>
      <c r="K3" s="125" t="s">
        <v>48</v>
      </c>
      <c r="L3" s="38" t="s">
        <v>49</v>
      </c>
      <c r="M3" s="125" t="s">
        <v>48</v>
      </c>
      <c r="N3" s="125" t="s">
        <v>48</v>
      </c>
      <c r="O3" s="38" t="s">
        <v>47</v>
      </c>
      <c r="P3" s="38" t="s">
        <v>47</v>
      </c>
      <c r="Q3" s="38" t="s">
        <v>47</v>
      </c>
      <c r="R3" s="125" t="s">
        <v>48</v>
      </c>
      <c r="S3" s="38" t="s">
        <v>47</v>
      </c>
      <c r="T3" s="38" t="s">
        <v>47</v>
      </c>
      <c r="U3" s="39" t="s">
        <v>47</v>
      </c>
      <c r="V3" s="39" t="s">
        <v>47</v>
      </c>
      <c r="W3" s="39" t="s">
        <v>47</v>
      </c>
      <c r="X3" s="39" t="s">
        <v>47</v>
      </c>
      <c r="Y3" s="39" t="s">
        <v>47</v>
      </c>
      <c r="Z3" s="40" t="s">
        <v>50</v>
      </c>
      <c r="AA3" s="38" t="s">
        <v>47</v>
      </c>
      <c r="AB3" s="38" t="s">
        <v>51</v>
      </c>
      <c r="AC3" s="47" t="s">
        <v>52</v>
      </c>
      <c r="AD3" s="38"/>
      <c r="AE3" s="38" t="s">
        <v>47</v>
      </c>
      <c r="AF3" s="38" t="s">
        <v>47</v>
      </c>
      <c r="AG3" s="42" t="s">
        <v>53</v>
      </c>
      <c r="AH3" s="42"/>
      <c r="AI3" s="30"/>
    </row>
    <row r="4" spans="1:52" s="103" customFormat="1" ht="44.5" customHeight="1" x14ac:dyDescent="0.2">
      <c r="A4" s="91" t="s">
        <v>54</v>
      </c>
      <c r="B4" s="92" t="s">
        <v>55</v>
      </c>
      <c r="C4" s="93" t="s">
        <v>56</v>
      </c>
      <c r="D4" s="93" t="s">
        <v>57</v>
      </c>
      <c r="E4" s="93" t="s">
        <v>58</v>
      </c>
      <c r="F4" s="94" t="s">
        <v>59</v>
      </c>
      <c r="G4" s="93" t="s">
        <v>60</v>
      </c>
      <c r="H4" s="93" t="s">
        <v>61</v>
      </c>
      <c r="I4" s="93" t="s">
        <v>0</v>
      </c>
      <c r="J4" s="93" t="s">
        <v>62</v>
      </c>
      <c r="K4" s="93" t="s">
        <v>63</v>
      </c>
      <c r="L4" s="93" t="s">
        <v>64</v>
      </c>
      <c r="M4" s="93" t="s">
        <v>65</v>
      </c>
      <c r="N4" s="93" t="s">
        <v>66</v>
      </c>
      <c r="O4" s="93" t="s">
        <v>67</v>
      </c>
      <c r="P4" s="93" t="s">
        <v>68</v>
      </c>
      <c r="Q4" s="93" t="s">
        <v>69</v>
      </c>
      <c r="R4" s="95" t="s">
        <v>70</v>
      </c>
      <c r="S4" s="95" t="s">
        <v>71</v>
      </c>
      <c r="T4" s="96" t="s">
        <v>1</v>
      </c>
      <c r="U4" s="97" t="s">
        <v>72</v>
      </c>
      <c r="V4" s="97" t="s">
        <v>73</v>
      </c>
      <c r="W4" s="97" t="s">
        <v>74</v>
      </c>
      <c r="X4" s="97" t="s">
        <v>75</v>
      </c>
      <c r="Y4" s="97" t="s">
        <v>76</v>
      </c>
      <c r="Z4" s="98" t="s">
        <v>77</v>
      </c>
      <c r="AA4" s="98" t="s">
        <v>78</v>
      </c>
      <c r="AB4" s="98" t="s">
        <v>79</v>
      </c>
      <c r="AC4" s="98" t="s">
        <v>80</v>
      </c>
      <c r="AD4" s="98" t="s">
        <v>81</v>
      </c>
      <c r="AE4" s="93" t="s">
        <v>82</v>
      </c>
      <c r="AF4" s="93" t="s">
        <v>83</v>
      </c>
      <c r="AG4" s="93" t="s">
        <v>84</v>
      </c>
      <c r="AH4" s="99" t="s">
        <v>85</v>
      </c>
      <c r="AI4" s="100" t="s">
        <v>86</v>
      </c>
      <c r="AJ4" s="101"/>
      <c r="AK4" s="101"/>
      <c r="AL4" s="101"/>
      <c r="AM4" s="101"/>
      <c r="AN4" s="101"/>
      <c r="AO4" s="101"/>
      <c r="AP4" s="101"/>
      <c r="AQ4" s="101"/>
      <c r="AR4" s="101"/>
      <c r="AS4" s="102"/>
      <c r="AT4" s="102"/>
      <c r="AU4" s="102"/>
      <c r="AV4" s="102"/>
      <c r="AW4" s="102"/>
      <c r="AX4" s="102"/>
      <c r="AY4" s="102"/>
      <c r="AZ4" s="102"/>
    </row>
    <row r="5" spans="1:52" s="52" customFormat="1" ht="40" customHeight="1" x14ac:dyDescent="0.2">
      <c r="A5" s="33"/>
      <c r="B5" s="1"/>
      <c r="C5" s="1"/>
      <c r="D5" s="1"/>
      <c r="E5" s="1"/>
      <c r="F5" s="1"/>
      <c r="G5" s="1"/>
      <c r="H5" s="1"/>
      <c r="I5" s="34"/>
      <c r="J5" s="1"/>
      <c r="K5" s="1"/>
      <c r="L5" s="1"/>
      <c r="M5" s="1"/>
      <c r="N5" s="1"/>
      <c r="O5" s="126"/>
      <c r="P5" s="127"/>
      <c r="Q5" s="126"/>
      <c r="R5" s="127"/>
      <c r="S5" s="127"/>
      <c r="T5" s="126"/>
      <c r="U5" s="31"/>
      <c r="V5" s="31"/>
      <c r="W5" s="31"/>
      <c r="X5" s="31"/>
      <c r="Y5" s="31"/>
      <c r="Z5" s="1"/>
      <c r="AA5" s="127"/>
      <c r="AB5" s="34"/>
      <c r="AC5" s="48"/>
      <c r="AD5" s="34"/>
      <c r="AE5" s="126"/>
      <c r="AF5" s="126"/>
      <c r="AG5" s="158"/>
      <c r="AH5" s="158"/>
      <c r="AI5" s="12"/>
      <c r="AJ5" s="128"/>
      <c r="AK5" s="128"/>
      <c r="AL5" s="128"/>
      <c r="AM5" s="128"/>
      <c r="AN5" s="128"/>
      <c r="AO5" s="128"/>
      <c r="AP5" s="128"/>
      <c r="AQ5" s="128"/>
      <c r="AR5" s="128"/>
      <c r="AS5" s="128"/>
      <c r="AT5" s="128"/>
      <c r="AU5" s="128"/>
      <c r="AV5" s="128"/>
      <c r="AW5" s="128"/>
      <c r="AX5" s="128"/>
      <c r="AY5" s="128"/>
      <c r="AZ5" s="128"/>
    </row>
    <row r="6" spans="1:52" ht="40" customHeight="1" x14ac:dyDescent="0.2">
      <c r="B6" s="115"/>
      <c r="C6"/>
      <c r="D6"/>
      <c r="E6"/>
    </row>
    <row r="7" spans="1:52" ht="40" customHeight="1" x14ac:dyDescent="0.2">
      <c r="B7"/>
      <c r="C7"/>
      <c r="D7"/>
      <c r="E7"/>
    </row>
    <row r="8" spans="1:52" ht="40" customHeight="1" x14ac:dyDescent="0.2">
      <c r="B8" s="115"/>
      <c r="C8"/>
      <c r="D8"/>
      <c r="E8"/>
    </row>
    <row r="9" spans="1:52" ht="40" customHeight="1" x14ac:dyDescent="0.2">
      <c r="B9" s="115"/>
      <c r="C9"/>
      <c r="D9"/>
      <c r="E9"/>
    </row>
    <row r="10" spans="1:52" ht="40" customHeight="1" x14ac:dyDescent="0.2">
      <c r="B10" s="115"/>
      <c r="C10"/>
      <c r="D10"/>
      <c r="E10"/>
    </row>
    <row r="11" spans="1:52" ht="40" customHeight="1" x14ac:dyDescent="0.2">
      <c r="B11" s="115"/>
      <c r="C11"/>
      <c r="D11"/>
      <c r="E11"/>
    </row>
    <row r="12" spans="1:52" ht="40" customHeight="1" x14ac:dyDescent="0.2">
      <c r="B12" s="115"/>
      <c r="C12"/>
      <c r="D12"/>
      <c r="E12"/>
    </row>
    <row r="13" spans="1:52" ht="40" customHeight="1" x14ac:dyDescent="0.2">
      <c r="B13" s="115"/>
      <c r="C13"/>
      <c r="D13"/>
      <c r="E13"/>
    </row>
    <row r="14" spans="1:52" ht="40" customHeight="1" x14ac:dyDescent="0.2">
      <c r="B14" s="115"/>
      <c r="C14"/>
      <c r="D14"/>
      <c r="E14"/>
    </row>
    <row r="15" spans="1:52" ht="40" customHeight="1" x14ac:dyDescent="0.2">
      <c r="B15" s="115"/>
      <c r="C15"/>
      <c r="D15"/>
      <c r="E15"/>
    </row>
  </sheetData>
  <sheetProtection insertRows="0" autoFilter="0"/>
  <mergeCells count="1">
    <mergeCell ref="U1:Y1"/>
  </mergeCells>
  <phoneticPr fontId="12" type="noConversion"/>
  <conditionalFormatting sqref="A4:A1048576">
    <cfRule type="duplicateValues" dxfId="48" priority="80"/>
  </conditionalFormatting>
  <conditionalFormatting sqref="B5">
    <cfRule type="duplicateValues" dxfId="47" priority="423"/>
  </conditionalFormatting>
  <conditionalFormatting sqref="I1:K1">
    <cfRule type="containsText" dxfId="46" priority="77" operator="containsText" text="remove">
      <formula>NOT(ISERROR(SEARCH("remove",I1)))</formula>
    </cfRule>
    <cfRule type="containsText" dxfId="45" priority="78" operator="containsText" text="No">
      <formula>NOT(ISERROR(SEARCH("No",I1)))</formula>
    </cfRule>
    <cfRule type="containsText" dxfId="44" priority="79" operator="containsText" text="Yes">
      <formula>NOT(ISERROR(SEARCH("Yes",I1)))</formula>
    </cfRule>
  </conditionalFormatting>
  <conditionalFormatting sqref="I3:K1048576 J2:K2">
    <cfRule type="containsText" dxfId="43" priority="413" operator="containsText" text="remove">
      <formula>NOT(ISERROR(SEARCH("remove",I2)))</formula>
    </cfRule>
  </conditionalFormatting>
  <conditionalFormatting sqref="I5:K5">
    <cfRule type="containsText" dxfId="42" priority="260" operator="containsText" text="remove">
      <formula>NOT(ISERROR(SEARCH("remove",I5)))</formula>
    </cfRule>
  </conditionalFormatting>
  <conditionalFormatting sqref="I5:K1048576">
    <cfRule type="containsText" dxfId="41" priority="261" operator="containsText" text="No">
      <formula>NOT(ISERROR(SEARCH("No",I5)))</formula>
    </cfRule>
    <cfRule type="containsText" dxfId="40" priority="262" operator="containsText" text="Yes">
      <formula>NOT(ISERROR(SEARCH("Yes",I5)))</formula>
    </cfRule>
  </conditionalFormatting>
  <conditionalFormatting sqref="J2:K2 I3:K5">
    <cfRule type="containsText" dxfId="39" priority="414" operator="containsText" text="No">
      <formula>NOT(ISERROR(SEARCH("No",I2)))</formula>
    </cfRule>
    <cfRule type="containsText" dxfId="38" priority="415" operator="containsText" text="Yes">
      <formula>NOT(ISERROR(SEARCH("Yes",I2)))</formula>
    </cfRule>
  </conditionalFormatting>
  <conditionalFormatting sqref="M3:N3">
    <cfRule type="containsText" dxfId="37" priority="58" operator="containsText" text="remove">
      <formula>NOT(ISERROR(SEARCH("remove",M3)))</formula>
    </cfRule>
    <cfRule type="containsText" dxfId="36" priority="59" operator="containsText" text="No">
      <formula>NOT(ISERROR(SEARCH("No",M3)))</formula>
    </cfRule>
    <cfRule type="containsText" dxfId="35" priority="60" operator="containsText" text="Yes">
      <formula>NOT(ISERROR(SEARCH("Yes",M3)))</formula>
    </cfRule>
  </conditionalFormatting>
  <conditionalFormatting sqref="R3">
    <cfRule type="containsText" dxfId="34" priority="55" operator="containsText" text="remove">
      <formula>NOT(ISERROR(SEARCH("remove",R3)))</formula>
    </cfRule>
    <cfRule type="containsText" dxfId="33" priority="56" operator="containsText" text="No">
      <formula>NOT(ISERROR(SEARCH("No",R3)))</formula>
    </cfRule>
    <cfRule type="containsText" dxfId="32" priority="57" operator="containsText" text="Yes">
      <formula>NOT(ISERROR(SEARCH("Yes",R3)))</formula>
    </cfRule>
  </conditionalFormatting>
  <conditionalFormatting sqref="Z4">
    <cfRule type="cellIs" dxfId="31" priority="1" operator="equal">
      <formula>"Yes"</formula>
    </cfRule>
    <cfRule type="cellIs" dxfId="30" priority="2" operator="equal">
      <formula>"No"</formula>
    </cfRule>
  </conditionalFormatting>
  <conditionalFormatting sqref="AA1:AD5 AC6:AE1048576">
    <cfRule type="cellIs" dxfId="29" priority="93" operator="equal">
      <formula>"Yes"</formula>
    </cfRule>
    <cfRule type="cellIs" dxfId="28" priority="94" operator="equal">
      <formula>"No"</formula>
    </cfRule>
  </conditionalFormatting>
  <dataValidations count="5">
    <dataValidation type="list" allowBlank="1" showInputMessage="1" showErrorMessage="1" sqref="I5 I2:I3" xr:uid="{0756ACD3-F324-C547-9654-14F6CDF05906}">
      <formula1>"Yes, No, Removed"</formula1>
    </dataValidation>
    <dataValidation type="list" allowBlank="1" showInputMessage="1" showErrorMessage="1" sqref="AA5 AA2:AA3 AC6:AC1048576" xr:uid="{450DF58F-22B0-457C-88E4-B81FCCF95717}">
      <formula1>"Yes, No"</formula1>
    </dataValidation>
    <dataValidation type="list" allowBlank="1" showInputMessage="1" showErrorMessage="1" sqref="AC2:AC3 AC5 AD6:AE1048576" xr:uid="{A4A78021-0A60-47EB-B603-28B06F03570D}">
      <formula1>"2021, 2023"</formula1>
    </dataValidation>
    <dataValidation type="list" allowBlank="1" showInputMessage="1" showErrorMessage="1" sqref="AB6:AB1048576" xr:uid="{E4FBF2FF-E60D-4E54-8C19-0D319C2AF1D0}">
      <formula1>KPIs</formula1>
    </dataValidation>
    <dataValidation type="list" allowBlank="1" showInputMessage="1" showErrorMessage="1" sqref="T1:T1048576" xr:uid="{037CBB06-D141-49EB-8380-5C35780ECCBE}">
      <formula1>Geographical_level_of_infleunce</formula1>
    </dataValidation>
  </dataValidations>
  <pageMargins left="0.23622047244094491" right="0.23622047244094491" top="0.74803149606299213" bottom="0.74803149606299213" header="0.31496062992125984" footer="0.31496062992125984"/>
  <pageSetup paperSize="9" scale="10" fitToHeight="2"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705A3F0C-8AD3-F64C-BA65-EB010213B0B1}">
          <x14:formula1>
            <xm:f>Dropdowns!$A$2:$A$14</xm:f>
          </x14:formula1>
          <xm:sqref>O2:O3 O5:O1048576</xm:sqref>
        </x14:dataValidation>
        <x14:dataValidation type="list" allowBlank="1" showInputMessage="1" showErrorMessage="1" xr:uid="{2168E78C-D182-496D-8A16-1EA13427DD60}">
          <x14:formula1>
            <xm:f>Dropdowns!$K$2:$K$10</xm:f>
          </x14:formula1>
          <xm:sqref>Q2:Q3 Q6:Q1048576</xm:sqref>
        </x14:dataValidation>
        <x14:dataValidation type="list" allowBlank="1" showInputMessage="1" showErrorMessage="1" xr:uid="{53679073-A97F-4255-8BEB-87DB66A9CEC4}">
          <x14:formula1>
            <xm:f>Dropdowns!$N$2:$N$5</xm:f>
          </x14:formula1>
          <xm:sqref>AD2:AD3 AD5</xm:sqref>
        </x14:dataValidation>
        <x14:dataValidation type="list" allowBlank="1" showInputMessage="1" showErrorMessage="1" xr:uid="{D1DA6E7F-2EE5-C241-836A-53B3FF5C57DB}">
          <x14:formula1>
            <xm:f>Dropdowns!$C$2:$C$23</xm:f>
          </x14:formula1>
          <xm:sqref>V2:Y3 V6:Y1048576</xm:sqref>
        </x14:dataValidation>
        <x14:dataValidation type="list" allowBlank="1" showInputMessage="1" showErrorMessage="1" xr:uid="{BABDAA29-AC41-4AEC-8E48-BC8B244A4F6C}">
          <x14:formula1>
            <xm:f>Dropdowns!$C$2:$C$29</xm:f>
          </x14:formula1>
          <xm:sqref>V4:Y4 U1:U4 U5:Y5 U6:U1048576</xm:sqref>
        </x14:dataValidation>
        <x14:dataValidation type="list" allowBlank="1" showInputMessage="1" showErrorMessage="1" xr:uid="{CB9253E3-208E-4D8E-A9DA-5958578233B1}">
          <x14:formula1>
            <xm:f>Dropdowns!$A$27:$A$32</xm:f>
          </x14:formula1>
          <xm:sqref>R1:R2 R4:R1048576</xm:sqref>
        </x14:dataValidation>
        <x14:dataValidation type="list" allowBlank="1" showInputMessage="1" showErrorMessage="1" xr:uid="{2D255FA0-1A9A-4D2D-9D89-EB7483629064}">
          <x14:formula1>
            <xm:f>Dropdowns!$H$2:$H$6</xm:f>
          </x14:formula1>
          <xm:sqref>S1:S1048576</xm:sqref>
        </x14:dataValidation>
        <x14:dataValidation type="list" allowBlank="1" showInputMessage="1" showErrorMessage="1" xr:uid="{9EB1CCDB-38F5-4B40-B4FA-A80826CF15FA}">
          <x14:formula1>
            <xm:f>Dropdowns!$E$2:$E$9</xm:f>
          </x14:formula1>
          <xm:sqref>P1:P1048576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DC40-06B7-5542-9CE6-B09BE42D96E9}">
  <dimension ref="A1:S28"/>
  <sheetViews>
    <sheetView workbookViewId="0">
      <selection activeCell="F9" sqref="F9"/>
    </sheetView>
  </sheetViews>
  <sheetFormatPr baseColWidth="10" defaultColWidth="10.5" defaultRowHeight="16" x14ac:dyDescent="0.2"/>
  <cols>
    <col min="3" max="3" width="7" style="5" customWidth="1"/>
    <col min="4" max="4" width="18.83203125" customWidth="1"/>
    <col min="7" max="7" width="13.83203125" customWidth="1"/>
    <col min="8" max="8" width="19" customWidth="1"/>
    <col min="10" max="10" width="14" customWidth="1"/>
    <col min="11" max="11" width="7.83203125" style="5" customWidth="1"/>
    <col min="12" max="12" width="20" customWidth="1"/>
  </cols>
  <sheetData>
    <row r="1" spans="1:19" ht="19" x14ac:dyDescent="0.25">
      <c r="A1" t="s">
        <v>199</v>
      </c>
      <c r="D1" s="4" t="s">
        <v>109</v>
      </c>
      <c r="L1" s="4" t="s">
        <v>88</v>
      </c>
      <c r="M1" s="3"/>
      <c r="N1" s="3"/>
      <c r="O1" s="3" t="s">
        <v>135</v>
      </c>
      <c r="P1" s="3"/>
    </row>
    <row r="2" spans="1:19" x14ac:dyDescent="0.2">
      <c r="A2" t="s">
        <v>200</v>
      </c>
      <c r="B2">
        <f>COUNTIF(Outcomes!$O$3:$O$275,Data!A2)</f>
        <v>0</v>
      </c>
      <c r="D2" t="s">
        <v>200</v>
      </c>
      <c r="E2">
        <f>COUNTIFS(Outcomes!$J$3:$J$275,Data!$D$1,Outcomes!$O$3:$O$275,Data!A2)</f>
        <v>0</v>
      </c>
      <c r="L2" t="s">
        <v>93</v>
      </c>
      <c r="M2">
        <f>COUNTIFS(Outcomes!$J$3:$J$275,Data!$L$1,Outcomes!$O$3:$O$275,L2)</f>
        <v>0</v>
      </c>
      <c r="N2" s="3"/>
      <c r="O2" s="3" t="s">
        <v>200</v>
      </c>
      <c r="P2" s="3">
        <f>COUNTIFS(Outcomes!$J$3:$J$275,Data!$O$1,Outcomes!$O$3:$O$275,Data!L2)</f>
        <v>0</v>
      </c>
    </row>
    <row r="3" spans="1:19" x14ac:dyDescent="0.2">
      <c r="A3" t="s">
        <v>201</v>
      </c>
      <c r="B3">
        <f>COUNTIF(Outcomes!$O$3:$O$275,Data!A3)</f>
        <v>0</v>
      </c>
      <c r="D3" t="s">
        <v>201</v>
      </c>
      <c r="E3">
        <f>COUNTIFS(Outcomes!$J$3:$J$275,Data!$D$1,Outcomes!$O$3:$O$275,Data!A3)</f>
        <v>0</v>
      </c>
      <c r="L3" t="s">
        <v>202</v>
      </c>
      <c r="M3">
        <f>COUNTIFS(Outcomes!$J$3:$J$275,Data!$L$1,Outcomes!$O$3:$O$275,L3)</f>
        <v>0</v>
      </c>
      <c r="N3" s="3"/>
      <c r="O3" s="3" t="s">
        <v>201</v>
      </c>
      <c r="P3" s="3">
        <f>COUNTIFS(Outcomes!$J$3:$J$275,Data!$O$1,Outcomes!$O$3:$O$275,Data!L3)</f>
        <v>0</v>
      </c>
    </row>
    <row r="4" spans="1:19" x14ac:dyDescent="0.2">
      <c r="A4" t="s">
        <v>203</v>
      </c>
      <c r="B4">
        <f>COUNTIF(Outcomes!$O$3:$O$275,Data!A4)</f>
        <v>0</v>
      </c>
      <c r="D4" t="s">
        <v>203</v>
      </c>
      <c r="E4">
        <f>COUNTIFS(Outcomes!$J$3:$J$275,Data!$D$1,Outcomes!$O$3:$O$275,Data!A4)</f>
        <v>0</v>
      </c>
      <c r="L4" t="s">
        <v>204</v>
      </c>
      <c r="M4">
        <f>COUNTIFS(Outcomes!$J$3:$J$275,Data!$L$1,Outcomes!$O$3:$O$275,L4)</f>
        <v>0</v>
      </c>
      <c r="N4" s="3"/>
      <c r="O4" s="3" t="s">
        <v>203</v>
      </c>
      <c r="P4" s="3">
        <f>COUNTIFS(Outcomes!$J$3:$J$275,Data!$O$1,Outcomes!$O$3:$O$275,Data!L4)</f>
        <v>0</v>
      </c>
    </row>
    <row r="5" spans="1:19" x14ac:dyDescent="0.2">
      <c r="A5" t="s">
        <v>152</v>
      </c>
      <c r="B5">
        <f>COUNTIF(Outcomes!$O$3:$O$275,Data!A5)</f>
        <v>0</v>
      </c>
      <c r="D5" t="s">
        <v>152</v>
      </c>
      <c r="E5">
        <f>COUNTIFS(Outcomes!$J$3:$J$275,Data!$D$1,Outcomes!$O$3:$O$275,Data!A5)</f>
        <v>0</v>
      </c>
      <c r="L5" t="s">
        <v>200</v>
      </c>
      <c r="M5">
        <f>COUNTIFS(Outcomes!$J$3:$J$275,Data!$L$1,Outcomes!$O$3:$O$275,"government")</f>
        <v>0</v>
      </c>
      <c r="N5" s="3"/>
      <c r="O5" s="3" t="s">
        <v>152</v>
      </c>
      <c r="P5" s="3">
        <f>COUNTIFS(Outcomes!$J$3:$J$275,Data!$O$1,Outcomes!$O$3:$O$275,Data!L6)</f>
        <v>0</v>
      </c>
    </row>
    <row r="6" spans="1:19" x14ac:dyDescent="0.2">
      <c r="A6" s="2" t="s">
        <v>205</v>
      </c>
      <c r="B6">
        <f>SUM(B2:B5)</f>
        <v>0</v>
      </c>
      <c r="D6" s="2" t="s">
        <v>205</v>
      </c>
      <c r="E6">
        <f>SUM(E2:E5)</f>
        <v>0</v>
      </c>
      <c r="L6" t="s">
        <v>206</v>
      </c>
      <c r="M6">
        <f>COUNTIFS(Outcomes!$J$3:$J$275,L1,Outcomes!$O$3:$O$275,L6)</f>
        <v>0</v>
      </c>
      <c r="N6" s="3"/>
      <c r="O6" s="2" t="s">
        <v>205</v>
      </c>
      <c r="P6" s="3">
        <f>SUM(P2:P5)</f>
        <v>0</v>
      </c>
    </row>
    <row r="7" spans="1:19" x14ac:dyDescent="0.2">
      <c r="D7" s="6" t="s">
        <v>207</v>
      </c>
      <c r="L7" t="s">
        <v>152</v>
      </c>
      <c r="M7">
        <f>COUNTIFS(Outcomes!$J$3:$J$275,L1,Outcomes!$O$3:$O$275,"other")</f>
        <v>0</v>
      </c>
    </row>
    <row r="8" spans="1:19" ht="19" x14ac:dyDescent="0.25">
      <c r="D8" s="4" t="s">
        <v>109</v>
      </c>
      <c r="F8" t="s">
        <v>208</v>
      </c>
      <c r="G8" t="s">
        <v>200</v>
      </c>
      <c r="H8" t="s">
        <v>201</v>
      </c>
      <c r="I8" t="s">
        <v>203</v>
      </c>
      <c r="J8" t="s">
        <v>152</v>
      </c>
      <c r="L8" s="2" t="s">
        <v>205</v>
      </c>
      <c r="M8">
        <f>SUM(M2:M6)</f>
        <v>0</v>
      </c>
    </row>
    <row r="9" spans="1:19" x14ac:dyDescent="0.2">
      <c r="D9" t="s">
        <v>103</v>
      </c>
      <c r="E9">
        <f>COUNTIFS(Outcomes!$J$3:$J$275,Data!$D$1,Outcomes!$P$3:$P$275,Data!D9)</f>
        <v>0</v>
      </c>
      <c r="F9">
        <f t="shared" ref="F9:F17" si="0">SUM(G9:J9)</f>
        <v>0</v>
      </c>
      <c r="G9">
        <f>COUNTIFS(Outcomes!$J$3:$J$275,Data!$D$1,Outcomes!$P$3:$P$275,Data!$D9,Outcomes!$O$3:$O$275,Data!G$8)</f>
        <v>0</v>
      </c>
      <c r="H9">
        <f>COUNTIFS(Outcomes!$J$3:$J$275,Data!$D$1,Outcomes!$P$3:$P$275,Data!$D9,Outcomes!$O$3:$O$275,Data!H$8)</f>
        <v>0</v>
      </c>
      <c r="I9">
        <f>COUNTIFS(Outcomes!$J$3:$J$275,Data!$D$1,Outcomes!$P$3:$P$275,Data!$D9,Outcomes!$O$3:$O$275,Data!$I$8)</f>
        <v>0</v>
      </c>
      <c r="J9">
        <f>COUNTIFS(Outcomes!$J$3:$J$275,Data!$D$1,Outcomes!$P$3:$P$275,Data!$D9,Outcomes!$O$3:$O$275,Data!$J$8)</f>
        <v>0</v>
      </c>
      <c r="L9" s="6" t="s">
        <v>209</v>
      </c>
    </row>
    <row r="10" spans="1:19" ht="19" x14ac:dyDescent="0.25">
      <c r="D10" t="s">
        <v>102</v>
      </c>
      <c r="E10">
        <f>COUNTIFS(Outcomes!$J$3:$J$275,Data!$D$1,Outcomes!$P$3:$P$275,Data!D10)</f>
        <v>0</v>
      </c>
      <c r="F10">
        <f t="shared" si="0"/>
        <v>0</v>
      </c>
      <c r="G10">
        <f>COUNTIFS(Outcomes!$J$3:$J$275,Data!$D$1,Outcomes!$P$3:$P$275,Data!$D10,Outcomes!$O$3:$O$275,Data!G$8)</f>
        <v>0</v>
      </c>
      <c r="H10">
        <f>COUNTIFS(Outcomes!$J$3:$J$275,Data!$D$1,Outcomes!$P$3:$P$275,Data!$D10,Outcomes!$O$3:$O$275,Data!H$8)</f>
        <v>0</v>
      </c>
      <c r="I10">
        <f>COUNTIFS(Outcomes!$J$3:$J$275,Data!$D$1,Outcomes!$P$3:$P$275,Data!$D10,Outcomes!$O$3:$O$275,Data!$I$8)</f>
        <v>0</v>
      </c>
      <c r="J10">
        <f>COUNTIFS(Outcomes!$J$3:$J$275,Data!$D$1,Outcomes!$P$3:$P$275,Data!$D10,Outcomes!$O$3:$O$275,Data!$J$8)</f>
        <v>0</v>
      </c>
      <c r="L10" s="4" t="s">
        <v>88</v>
      </c>
      <c r="N10" t="s">
        <v>208</v>
      </c>
      <c r="O10" t="s">
        <v>93</v>
      </c>
      <c r="P10" t="s">
        <v>210</v>
      </c>
      <c r="Q10" t="s">
        <v>204</v>
      </c>
      <c r="R10" t="s">
        <v>211</v>
      </c>
      <c r="S10" t="s">
        <v>206</v>
      </c>
    </row>
    <row r="11" spans="1:19" x14ac:dyDescent="0.2">
      <c r="D11" t="s">
        <v>112</v>
      </c>
      <c r="E11">
        <f>COUNTIFS(Outcomes!$J$3:$J$275,Data!$D$1,Outcomes!$P$3:$P$275,Data!D11)</f>
        <v>0</v>
      </c>
      <c r="F11">
        <f t="shared" si="0"/>
        <v>0</v>
      </c>
      <c r="G11">
        <f>COUNTIFS(Outcomes!$J$3:$J$275,Data!$D$1,Outcomes!$P$3:$P$275,Data!$D11,Outcomes!$O$3:$O$275,Data!G$8)</f>
        <v>0</v>
      </c>
      <c r="H11">
        <f>COUNTIFS(Outcomes!$J$3:$J$275,Data!$D$1,Outcomes!$P$3:$P$275,Data!$D11,Outcomes!$O$3:$O$275,Data!H$8)</f>
        <v>0</v>
      </c>
      <c r="I11">
        <f>COUNTIFS(Outcomes!$J$3:$J$275,Data!$D$1,Outcomes!$P$3:$P$275,Data!$D11,Outcomes!$O$3:$O$275,Data!$I$8)</f>
        <v>0</v>
      </c>
      <c r="J11">
        <f>COUNTIFS(Outcomes!$J$3:$J$275,Data!$D$1,Outcomes!$P$3:$P$275,Data!$D11,Outcomes!$O$3:$O$275,Data!$J$8)</f>
        <v>0</v>
      </c>
      <c r="L11" t="s">
        <v>212</v>
      </c>
      <c r="M11">
        <f>COUNTIFS(Outcomes!$J$3:$J$275,Data!$L$1,Outcomes!$Z$3:$Z$275,L11)</f>
        <v>0</v>
      </c>
      <c r="N11">
        <f>SUM(O11:S11)</f>
        <v>0</v>
      </c>
      <c r="O11">
        <f>COUNTIFS(Outcomes!$J$3:$J$275,$L$10,Outcomes!$Z$3:$Z$275,L11,Outcomes!$O$3:$O$275,$O$10)</f>
        <v>0</v>
      </c>
      <c r="P11">
        <f>COUNTIFS(Outcomes!$J$3:$J$275,$L$10,Outcomes!$Z$3:$Z$275,L11,Outcomes!$O$3:$O$275,$P$10)</f>
        <v>0</v>
      </c>
      <c r="Q11">
        <f>COUNTIFS(Outcomes!$J$3:$J$275,$L$10,Outcomes!$Z$3:$Z$275,$L11,Outcomes!$O$3:$O$275,$Q$10)</f>
        <v>0</v>
      </c>
      <c r="R11">
        <f>COUNTIFS(Outcomes!$J$3:$J$275,$L$10,Outcomes!$Z$3:$Z$275,$L11,Outcomes!$O$3:$O$275,"government")</f>
        <v>0</v>
      </c>
      <c r="S11">
        <f>COUNTIFS(Outcomes!$J$3:$J$275,$L$10,Outcomes!$Z$3:$Z$275,$L11,Outcomes!$O$3:$O$275,$S$10)</f>
        <v>0</v>
      </c>
    </row>
    <row r="12" spans="1:19" x14ac:dyDescent="0.2">
      <c r="D12" t="s">
        <v>128</v>
      </c>
      <c r="E12">
        <f>COUNTIFS(Outcomes!$J$3:$J$275,Data!$D$1,Outcomes!$P$3:$P$275,Data!D12)</f>
        <v>0</v>
      </c>
      <c r="F12">
        <f t="shared" si="0"/>
        <v>0</v>
      </c>
      <c r="G12">
        <f>COUNTIFS(Outcomes!$J$3:$J$275,Data!$D$1,Outcomes!$P$3:$P$275,Data!$D12,Outcomes!$O$3:$O$275,Data!G$8)</f>
        <v>0</v>
      </c>
      <c r="H12">
        <f>COUNTIFS(Outcomes!$J$3:$J$275,Data!$D$1,Outcomes!$P$3:$P$275,Data!$D12,Outcomes!$O$3:$O$275,Data!H$8)</f>
        <v>0</v>
      </c>
      <c r="I12">
        <f>COUNTIFS(Outcomes!$J$3:$J$275,Data!$D$1,Outcomes!$P$3:$P$275,Data!$D12,Outcomes!$O$3:$O$275,Data!$I$8)</f>
        <v>0</v>
      </c>
      <c r="J12">
        <f>COUNTIFS(Outcomes!$J$3:$J$275,Data!$D$1,Outcomes!$P$3:$P$275,Data!$D12,Outcomes!$O$3:$O$275,Data!$J$8)</f>
        <v>0</v>
      </c>
      <c r="L12" t="s">
        <v>144</v>
      </c>
      <c r="M12">
        <f>COUNTIFS(Outcomes!$J$3:$J$275,Data!$L$1,Outcomes!$Z$3:$Z$275,L12)</f>
        <v>0</v>
      </c>
      <c r="N12">
        <f>SUM(O12:S12)</f>
        <v>0</v>
      </c>
      <c r="O12">
        <f>COUNTIFS(Outcomes!$J$3:$J$275,$L$10,Outcomes!$Z$3:$Z$275,L12,Outcomes!$O$3:$O$275,$O$10)</f>
        <v>0</v>
      </c>
      <c r="P12">
        <f>COUNTIFS(Outcomes!$J$3:$J$275,$L$10,Outcomes!$Z$3:$Z$275,L12,Outcomes!$O$3:$O$275,$P$10)</f>
        <v>0</v>
      </c>
      <c r="Q12">
        <f>COUNTIFS(Outcomes!$J$3:$J$275,$L$10,Outcomes!$Z$3:$Z$275,$L12,Outcomes!$O$3:$O$275,$Q$10)</f>
        <v>0</v>
      </c>
      <c r="R12">
        <f>COUNTIFS(Outcomes!$J$3:$J$275,$L$10,Outcomes!$Z$3:$Z$275,$L12,Outcomes!$O$3:$O$275,"government")</f>
        <v>0</v>
      </c>
      <c r="S12">
        <f>COUNTIFS(Outcomes!$J$3:$J$275,$L$10,Outcomes!$Z$3:$Z$275,$L12,Outcomes!$O$3:$O$275,$S$10)</f>
        <v>0</v>
      </c>
    </row>
    <row r="13" spans="1:19" x14ac:dyDescent="0.2">
      <c r="D13" t="s">
        <v>213</v>
      </c>
      <c r="E13">
        <f>COUNTIFS(Outcomes!$J$3:$J$275,Data!$D$1,Outcomes!$P$3:$P$275,Data!D13)</f>
        <v>0</v>
      </c>
      <c r="F13">
        <f t="shared" si="0"/>
        <v>0</v>
      </c>
      <c r="G13">
        <f>COUNTIFS(Outcomes!$J$3:$J$275,Data!$D$1,Outcomes!$P$3:$P$275,Data!$D13,Outcomes!$O$3:$O$275,Data!G$8)</f>
        <v>0</v>
      </c>
      <c r="H13">
        <f>COUNTIFS(Outcomes!$J$3:$J$275,Data!$D$1,Outcomes!$P$3:$P$275,Data!$D13,Outcomes!$O$3:$O$275,Data!H$8)</f>
        <v>0</v>
      </c>
      <c r="I13">
        <f>COUNTIFS(Outcomes!$J$3:$J$275,Data!$D$1,Outcomes!$P$3:$P$275,Data!$D13,Outcomes!$O$3:$O$275,Data!$I$8)</f>
        <v>0</v>
      </c>
      <c r="J13">
        <f>COUNTIFS(Outcomes!$J$3:$J$275,Data!$D$1,Outcomes!$P$3:$P$275,Data!$D13,Outcomes!$O$3:$O$275,Data!$J$8)</f>
        <v>0</v>
      </c>
      <c r="L13" t="s">
        <v>97</v>
      </c>
      <c r="M13">
        <f>COUNTIFS(Outcomes!$J$3:$J$275,Data!$L$1,Outcomes!$Z$3:$Z$275,L13)</f>
        <v>0</v>
      </c>
      <c r="N13">
        <f>SUM(O13:S13)</f>
        <v>0</v>
      </c>
      <c r="O13">
        <f>COUNTIFS(Outcomes!$J$3:$J$275,$L$10,Outcomes!$Z$3:$Z$275,L13,Outcomes!$O$3:$O$275,$O$10)</f>
        <v>0</v>
      </c>
      <c r="P13">
        <f>COUNTIFS(Outcomes!$J$3:$J$275,$L$10,Outcomes!$Z$3:$Z$275,L13,Outcomes!$O$3:$O$275,$P$10)</f>
        <v>0</v>
      </c>
      <c r="Q13">
        <f>COUNTIFS(Outcomes!$J$3:$J$275,$L$10,Outcomes!$Z$3:$Z$275,$L13,Outcomes!$O$3:$O$275,$Q$10)</f>
        <v>0</v>
      </c>
      <c r="R13">
        <f>COUNTIFS(Outcomes!$J$3:$J$275,$L$10,Outcomes!$Z$3:$Z$275,$L13,Outcomes!$O$3:$O$275,"government")</f>
        <v>0</v>
      </c>
      <c r="S13">
        <f>COUNTIFS(Outcomes!$J$3:$J$275,$L$10,Outcomes!$Z$3:$Z$275,$L13,Outcomes!$O$3:$O$275,$S$10)</f>
        <v>0</v>
      </c>
    </row>
    <row r="14" spans="1:19" x14ac:dyDescent="0.2">
      <c r="D14" t="s">
        <v>125</v>
      </c>
      <c r="E14">
        <f>COUNTIFS(Outcomes!$J$3:$J$275,Data!$D$1,Outcomes!$P$3:$P$275,Data!D14)</f>
        <v>0</v>
      </c>
      <c r="F14">
        <f t="shared" si="0"/>
        <v>0</v>
      </c>
      <c r="G14">
        <f>COUNTIFS(Outcomes!$J$3:$J$275,Data!$D$1,Outcomes!$P$3:$P$275,Data!$D14,Outcomes!$O$3:$O$275,Data!G$8)</f>
        <v>0</v>
      </c>
      <c r="H14">
        <f>COUNTIFS(Outcomes!$J$3:$J$275,Data!$D$1,Outcomes!$P$3:$P$275,Data!$D14,Outcomes!$O$3:$O$275,Data!H$8)</f>
        <v>0</v>
      </c>
      <c r="I14">
        <f>COUNTIFS(Outcomes!$J$3:$J$275,Data!$D$1,Outcomes!$P$3:$P$275,Data!$D14,Outcomes!$O$3:$O$275,Data!$I$8)</f>
        <v>0</v>
      </c>
      <c r="J14">
        <f>COUNTIFS(Outcomes!$J$3:$J$275,Data!$D$1,Outcomes!$P$3:$P$275,Data!$D14,Outcomes!$O$3:$O$275,Data!$J$8)</f>
        <v>0</v>
      </c>
      <c r="L14" t="s">
        <v>214</v>
      </c>
      <c r="M14">
        <f>COUNTIFS(Outcomes!$J$3:$J$275,Data!$L$1,Outcomes!$Z$3:$Z$275,L14)</f>
        <v>0</v>
      </c>
      <c r="N14">
        <f>SUM(O14:S14)</f>
        <v>0</v>
      </c>
      <c r="O14">
        <f>COUNTIFS(Outcomes!$J$3:$J$275,$L$10,Outcomes!$Z$3:$Z$275,L14,Outcomes!$O$3:$O$275,$O$10)</f>
        <v>0</v>
      </c>
      <c r="P14">
        <f>COUNTIFS(Outcomes!$J$3:$J$275,$L$10,Outcomes!$Z$3:$Z$275,L14,Outcomes!$O$3:$O$275,$P$10)</f>
        <v>0</v>
      </c>
      <c r="Q14">
        <f>COUNTIFS(Outcomes!$J$3:$J$275,$L$10,Outcomes!$Z$3:$Z$275,$L14,Outcomes!$O$3:$O$275,$Q$10)</f>
        <v>0</v>
      </c>
      <c r="R14">
        <f>COUNTIFS(Outcomes!$J$3:$J$275,$L$10,Outcomes!$Z$3:$Z$275,$L14,Outcomes!$O$3:$O$275,"government")</f>
        <v>0</v>
      </c>
      <c r="S14">
        <f>COUNTIFS(Outcomes!$J$3:$J$275,$L$10,Outcomes!$Z$3:$Z$275,$L14,Outcomes!$O$3:$O$275,$S$10)</f>
        <v>0</v>
      </c>
    </row>
    <row r="15" spans="1:19" x14ac:dyDescent="0.2">
      <c r="D15" t="s">
        <v>215</v>
      </c>
      <c r="E15">
        <f>COUNTIFS(Outcomes!$J$3:$J$275,Data!$D$1,Outcomes!$P$3:$P$275,Data!D15)</f>
        <v>0</v>
      </c>
      <c r="F15">
        <f t="shared" si="0"/>
        <v>0</v>
      </c>
      <c r="G15">
        <f>COUNTIFS(Outcomes!$J$3:$J$275,Data!$D$1,Outcomes!$P$3:$P$275,Data!$D15,Outcomes!$O$3:$O$275,Data!G$8)</f>
        <v>0</v>
      </c>
      <c r="H15">
        <f>COUNTIFS(Outcomes!$J$3:$J$275,Data!$D$1,Outcomes!$P$3:$P$275,Data!$D15,Outcomes!$O$3:$O$275,Data!H$8)</f>
        <v>0</v>
      </c>
      <c r="I15">
        <f>COUNTIFS(Outcomes!$J$3:$J$275,Data!$D$1,Outcomes!$P$3:$P$275,Data!$D15,Outcomes!$O$3:$O$275,Data!$I$8)</f>
        <v>0</v>
      </c>
      <c r="J15">
        <f>COUNTIFS(Outcomes!$J$3:$J$275,Data!$D$1,Outcomes!$P$3:$P$275,Data!$D15,Outcomes!$O$3:$O$275,Data!$J$8)</f>
        <v>0</v>
      </c>
      <c r="L15" t="s">
        <v>150</v>
      </c>
      <c r="M15">
        <f>COUNTIFS(Outcomes!$J$3:$J$275,Data!$L$1,Outcomes!$Z$3:$Z$275,L15)</f>
        <v>0</v>
      </c>
      <c r="N15" t="s">
        <v>216</v>
      </c>
      <c r="O15">
        <f>COUNTIFS(Outcomes!$J$3:$J$275,$L$10,Outcomes!$Z$3:$Z$275,L15,Outcomes!$O$3:$O$275,$O$10)</f>
        <v>0</v>
      </c>
      <c r="P15">
        <f>COUNTIFS(Outcomes!$J$3:$J$275,$L$10,Outcomes!$Z$3:$Z$275,L15,Outcomes!$O$3:$O$275,$P$10)</f>
        <v>0</v>
      </c>
      <c r="Q15">
        <f>COUNTIFS(Outcomes!$J$3:$J$275,$L$10,Outcomes!$Z$3:$Z$275,$L15,Outcomes!$O$3:$O$275,$Q$10)</f>
        <v>0</v>
      </c>
      <c r="R15">
        <f>COUNTIFS(Outcomes!$J$3:$J$275,$L$10,Outcomes!$Z$3:$Z$275,$L15,Outcomes!$O$3:$O$275,"government")</f>
        <v>0</v>
      </c>
      <c r="S15">
        <f>COUNTIFS(Outcomes!$J$3:$J$275,$L$10,Outcomes!$Z$3:$Z$275,$L15,Outcomes!$O$3:$O$275,$S$10)</f>
        <v>0</v>
      </c>
    </row>
    <row r="16" spans="1:19" x14ac:dyDescent="0.2">
      <c r="D16" t="s">
        <v>139</v>
      </c>
      <c r="E16">
        <f>COUNTIFS(Outcomes!$J$3:$J$275,Data!$D$1,Outcomes!$P$3:$P$275,Data!D16)</f>
        <v>0</v>
      </c>
      <c r="F16">
        <f t="shared" si="0"/>
        <v>0</v>
      </c>
      <c r="G16">
        <f>COUNTIFS(Outcomes!$J$3:$J$275,Data!$D$1,Outcomes!$P$3:$P$275,Data!$D16,Outcomes!$O$3:$O$275,Data!G$8)</f>
        <v>0</v>
      </c>
      <c r="H16">
        <f>COUNTIFS(Outcomes!$J$3:$J$275,Data!$D$1,Outcomes!$P$3:$P$275,Data!$D16,Outcomes!$O$3:$O$275,Data!H$8)</f>
        <v>0</v>
      </c>
      <c r="I16">
        <f>COUNTIFS(Outcomes!$J$3:$J$275,Data!$D$1,Outcomes!$P$3:$P$275,Data!$D16,Outcomes!$O$3:$O$275,Data!$I$8)</f>
        <v>0</v>
      </c>
      <c r="J16">
        <f>COUNTIFS(Outcomes!$J$3:$J$275,Data!$D$1,Outcomes!$P$3:$P$275,Data!$D16,Outcomes!$O$3:$O$275,Data!$J$8)</f>
        <v>0</v>
      </c>
      <c r="L16" s="2" t="s">
        <v>205</v>
      </c>
      <c r="M16">
        <f t="shared" ref="M16:S16" si="1">SUM(M11:M15)</f>
        <v>0</v>
      </c>
      <c r="N16">
        <f t="shared" si="1"/>
        <v>0</v>
      </c>
      <c r="O16">
        <f t="shared" si="1"/>
        <v>0</v>
      </c>
      <c r="P16">
        <f t="shared" si="1"/>
        <v>0</v>
      </c>
      <c r="Q16">
        <f t="shared" si="1"/>
        <v>0</v>
      </c>
      <c r="R16">
        <f t="shared" si="1"/>
        <v>0</v>
      </c>
      <c r="S16">
        <f t="shared" si="1"/>
        <v>0</v>
      </c>
    </row>
    <row r="17" spans="4:10" x14ac:dyDescent="0.2">
      <c r="D17" t="s">
        <v>205</v>
      </c>
      <c r="E17">
        <f>SUM(E9:E16)</f>
        <v>0</v>
      </c>
      <c r="F17">
        <f t="shared" si="0"/>
        <v>0</v>
      </c>
      <c r="G17">
        <f>SUM(G9:G16)</f>
        <v>0</v>
      </c>
      <c r="H17">
        <f>SUM(H9:H16)</f>
        <v>0</v>
      </c>
      <c r="I17">
        <f>SUM(I9:I16)</f>
        <v>0</v>
      </c>
      <c r="J17">
        <f>SUM(J9:J16)</f>
        <v>0</v>
      </c>
    </row>
    <row r="19" spans="4:10" x14ac:dyDescent="0.2">
      <c r="D19" s="6" t="s">
        <v>217</v>
      </c>
      <c r="F19" t="s">
        <v>208</v>
      </c>
      <c r="G19" t="s">
        <v>200</v>
      </c>
      <c r="H19" t="s">
        <v>201</v>
      </c>
      <c r="I19" t="s">
        <v>203</v>
      </c>
      <c r="J19" t="s">
        <v>152</v>
      </c>
    </row>
    <row r="20" spans="4:10" x14ac:dyDescent="0.2">
      <c r="D20" t="s">
        <v>130</v>
      </c>
      <c r="E20">
        <f>COUNTIFS(Outcomes!$J$3:$J$275,Data!$D$1,Outcomes!$Z$3:$Z$275,Data!D20)</f>
        <v>0</v>
      </c>
    </row>
    <row r="21" spans="4:10" x14ac:dyDescent="0.2">
      <c r="D21" t="s">
        <v>154</v>
      </c>
      <c r="E21">
        <f>COUNTIFS(Outcomes!$J$3:$J$275,Data!$D$1,Outcomes!$Z$3:$Z$275,Data!D21)</f>
        <v>0</v>
      </c>
    </row>
    <row r="22" spans="4:10" x14ac:dyDescent="0.2">
      <c r="D22" t="s">
        <v>127</v>
      </c>
      <c r="E22">
        <f>COUNTIFS(Outcomes!$J$3:$J$275,Data!$D$1,Outcomes!$Z$3:$Z$275,"training - case management")</f>
        <v>0</v>
      </c>
    </row>
    <row r="23" spans="4:10" x14ac:dyDescent="0.2">
      <c r="D23" t="s">
        <v>218</v>
      </c>
      <c r="E23">
        <f>COUNTIFS(Outcomes!$J$3:$J$275,Data!$D$1,Outcomes!$Z$3:$Z$275,Data!D23)</f>
        <v>0</v>
      </c>
    </row>
    <row r="24" spans="4:10" x14ac:dyDescent="0.2">
      <c r="D24" t="s">
        <v>122</v>
      </c>
      <c r="E24">
        <f>COUNTIFS(Outcomes!$J$3:$J$275,Data!$D$1,Outcomes!$Z$3:$Z$275,Data!D24)</f>
        <v>0</v>
      </c>
    </row>
    <row r="25" spans="4:10" x14ac:dyDescent="0.2">
      <c r="D25" t="s">
        <v>219</v>
      </c>
      <c r="E25">
        <f>COUNTIFS(Outcomes!$J$3:$J$275,Data!$D$1,Outcomes!$Z$3:$Z$275,Data!D25)</f>
        <v>0</v>
      </c>
    </row>
    <row r="26" spans="4:10" x14ac:dyDescent="0.2">
      <c r="D26" t="s">
        <v>156</v>
      </c>
      <c r="E26">
        <f>COUNTIFS(Outcomes!$J$3:$J$275,Data!$D$1,Outcomes!$Z$3:$Z$275,Data!D26)</f>
        <v>0</v>
      </c>
    </row>
    <row r="27" spans="4:10" x14ac:dyDescent="0.2">
      <c r="D27" t="s">
        <v>220</v>
      </c>
      <c r="E27">
        <f>COUNTIFS(Outcomes!$J$3:$J$275,Data!$D$1,Outcomes!$Z$3:$Z$275,Data!D27)</f>
        <v>0</v>
      </c>
    </row>
    <row r="28" spans="4:10" x14ac:dyDescent="0.2">
      <c r="D28" t="s">
        <v>221</v>
      </c>
      <c r="E28">
        <f>COUNTIFS(Outcomes!$J$3:$J$275,Data!$D$1,Outcomes!$Z$3:$Z$275,Data!D28)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A933-050E-4C4E-B1AA-6CAD9A752CA8}">
  <dimension ref="A1:DU115"/>
  <sheetViews>
    <sheetView showGridLines="0" topLeftCell="C72" zoomScale="115" zoomScaleNormal="115" workbookViewId="0">
      <selection activeCell="U16" sqref="U16"/>
    </sheetView>
  </sheetViews>
  <sheetFormatPr baseColWidth="10" defaultColWidth="8.83203125" defaultRowHeight="16" x14ac:dyDescent="0.2"/>
  <cols>
    <col min="2" max="2" width="8.83203125" customWidth="1"/>
  </cols>
  <sheetData>
    <row r="1" spans="1:125" ht="19" x14ac:dyDescent="0.25">
      <c r="A1" s="64" t="s">
        <v>222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row>
    <row r="2" spans="1:125" ht="19" x14ac:dyDescent="0.25">
      <c r="A2" s="21" t="s">
        <v>223</v>
      </c>
    </row>
    <row r="3" spans="1:125" ht="19" x14ac:dyDescent="0.25">
      <c r="A3" s="21">
        <f>'Quant analysis'!B8</f>
        <v>0</v>
      </c>
    </row>
    <row r="17" spans="1:125" ht="19" x14ac:dyDescent="0.25">
      <c r="A17" s="61" t="s">
        <v>135</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row>
    <row r="18" spans="1:125" ht="19" x14ac:dyDescent="0.25">
      <c r="A18" s="21" t="s">
        <v>223</v>
      </c>
    </row>
    <row r="19" spans="1:125" ht="19" x14ac:dyDescent="0.25">
      <c r="A19" s="21">
        <f>'Quant analysis'!B11</f>
        <v>0</v>
      </c>
    </row>
    <row r="29" spans="1:125" ht="19" x14ac:dyDescent="0.25">
      <c r="A29" s="61" t="s">
        <v>149</v>
      </c>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60"/>
      <c r="AN29" s="60"/>
      <c r="AO29" s="60"/>
      <c r="AP29" s="60"/>
      <c r="AQ29" s="60"/>
      <c r="AR29" s="60"/>
      <c r="AS29" s="60"/>
      <c r="AT29" s="60"/>
      <c r="AU29" s="60"/>
      <c r="AV29" s="60"/>
      <c r="AW29" s="60"/>
      <c r="AX29" s="60"/>
      <c r="AY29" s="60"/>
      <c r="AZ29" s="60"/>
      <c r="BA29" s="60"/>
      <c r="BB29" s="60"/>
      <c r="BC29" s="60"/>
      <c r="BD29" s="60"/>
      <c r="BE29" s="60"/>
    </row>
    <row r="30" spans="1:125" ht="19" x14ac:dyDescent="0.25">
      <c r="A30" s="21" t="s">
        <v>223</v>
      </c>
    </row>
    <row r="31" spans="1:125" ht="19" x14ac:dyDescent="0.25">
      <c r="A31" s="21">
        <f>'Quant analysis'!B18</f>
        <v>0</v>
      </c>
    </row>
    <row r="41" spans="1:57" ht="19" x14ac:dyDescent="0.25">
      <c r="A41" s="116" t="s">
        <v>159</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8"/>
      <c r="AN41" s="118"/>
      <c r="AO41" s="118"/>
      <c r="AP41" s="118"/>
      <c r="AQ41" s="118"/>
      <c r="AR41" s="118"/>
      <c r="AS41" s="118"/>
      <c r="AT41" s="118"/>
      <c r="AU41" s="118"/>
      <c r="AV41" s="118"/>
      <c r="AW41" s="118"/>
      <c r="AX41" s="118"/>
      <c r="AY41" s="118"/>
      <c r="AZ41" s="118"/>
      <c r="BA41" s="118"/>
      <c r="BB41" s="118"/>
      <c r="BC41" s="118"/>
      <c r="BD41" s="118"/>
      <c r="BE41" s="118"/>
    </row>
    <row r="42" spans="1:57" ht="19" x14ac:dyDescent="0.25">
      <c r="A42" s="21" t="s">
        <v>223</v>
      </c>
    </row>
    <row r="43" spans="1:57" ht="19" x14ac:dyDescent="0.25">
      <c r="A43" s="21">
        <f>'Quant analysis'!B12</f>
        <v>0</v>
      </c>
    </row>
    <row r="53" spans="1:57" ht="19" x14ac:dyDescent="0.25">
      <c r="A53" s="108" t="s">
        <v>142</v>
      </c>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10"/>
      <c r="AN53" s="110"/>
      <c r="AO53" s="110"/>
      <c r="AP53" s="110"/>
      <c r="AQ53" s="110"/>
      <c r="AR53" s="110"/>
      <c r="AS53" s="110"/>
      <c r="AT53" s="110"/>
      <c r="AU53" s="110"/>
      <c r="AV53" s="110"/>
      <c r="AW53" s="110"/>
      <c r="AX53" s="110"/>
      <c r="AY53" s="110"/>
      <c r="AZ53" s="110"/>
      <c r="BA53" s="110"/>
      <c r="BB53" s="110"/>
      <c r="BC53" s="110"/>
      <c r="BD53" s="110"/>
      <c r="BE53" s="110"/>
    </row>
    <row r="54" spans="1:57" ht="19" x14ac:dyDescent="0.25">
      <c r="A54" s="21" t="s">
        <v>223</v>
      </c>
    </row>
    <row r="55" spans="1:57" ht="19" x14ac:dyDescent="0.25">
      <c r="A55" s="21">
        <f>'Quant analysis'!B4</f>
        <v>0</v>
      </c>
    </row>
    <row r="65" spans="1:57" ht="19" x14ac:dyDescent="0.25">
      <c r="A65" s="66" t="s">
        <v>109</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3"/>
      <c r="AN65" s="63"/>
      <c r="AO65" s="63"/>
      <c r="AP65" s="63"/>
      <c r="AQ65" s="63"/>
      <c r="AR65" s="63"/>
      <c r="AS65" s="63"/>
      <c r="AT65" s="63"/>
      <c r="AU65" s="63"/>
      <c r="AV65" s="63"/>
      <c r="AW65" s="63"/>
      <c r="AX65" s="63"/>
      <c r="AY65" s="63"/>
      <c r="AZ65" s="63"/>
      <c r="BA65" s="63"/>
      <c r="BB65" s="63"/>
      <c r="BC65" s="63"/>
      <c r="BD65" s="63"/>
      <c r="BE65" s="63"/>
    </row>
    <row r="66" spans="1:57" ht="19" x14ac:dyDescent="0.25">
      <c r="A66" s="21" t="s">
        <v>223</v>
      </c>
    </row>
    <row r="67" spans="1:57" ht="19" x14ac:dyDescent="0.25">
      <c r="A67" s="21">
        <f>'Quant analysis'!B14</f>
        <v>0</v>
      </c>
    </row>
    <row r="77" spans="1:57" ht="19" x14ac:dyDescent="0.25">
      <c r="A77" s="66" t="s">
        <v>100</v>
      </c>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3"/>
      <c r="AN77" s="63"/>
      <c r="AO77" s="63"/>
      <c r="AP77" s="63"/>
      <c r="AQ77" s="63"/>
      <c r="AR77" s="63"/>
      <c r="AS77" s="63"/>
      <c r="AT77" s="63"/>
      <c r="AU77" s="63"/>
      <c r="AV77" s="63"/>
      <c r="AW77" s="63"/>
      <c r="AX77" s="63"/>
      <c r="AY77" s="63"/>
      <c r="AZ77" s="63"/>
      <c r="BA77" s="63"/>
      <c r="BB77" s="63"/>
      <c r="BC77" s="63"/>
      <c r="BD77" s="63"/>
      <c r="BE77" s="63"/>
    </row>
    <row r="78" spans="1:57" ht="19" x14ac:dyDescent="0.25">
      <c r="A78" s="21" t="s">
        <v>223</v>
      </c>
    </row>
    <row r="79" spans="1:57" ht="19" x14ac:dyDescent="0.25">
      <c r="A79" s="21">
        <f>'Quant analysis'!B17</f>
        <v>0</v>
      </c>
    </row>
    <row r="88" spans="1:57" ht="16" customHeight="1" x14ac:dyDescent="0.2"/>
    <row r="89" spans="1:57" ht="19" x14ac:dyDescent="0.25">
      <c r="A89" s="64" t="s">
        <v>157</v>
      </c>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58"/>
      <c r="AN89" s="58"/>
      <c r="AO89" s="58"/>
      <c r="AP89" s="58"/>
      <c r="AQ89" s="58"/>
      <c r="AR89" s="58"/>
      <c r="AS89" s="58"/>
      <c r="AT89" s="58"/>
      <c r="AU89" s="58"/>
      <c r="AV89" s="58"/>
      <c r="AW89" s="58"/>
      <c r="AX89" s="58"/>
      <c r="AY89" s="58"/>
      <c r="AZ89" s="58"/>
      <c r="BA89" s="58"/>
      <c r="BB89" s="58"/>
      <c r="BC89" s="58"/>
      <c r="BD89" s="58"/>
      <c r="BE89" s="58"/>
    </row>
    <row r="90" spans="1:57" ht="19" x14ac:dyDescent="0.25">
      <c r="A90" s="21" t="s">
        <v>223</v>
      </c>
    </row>
    <row r="91" spans="1:57" ht="19" x14ac:dyDescent="0.25">
      <c r="A91" s="21">
        <f>'Quant analysis'!B15</f>
        <v>0</v>
      </c>
    </row>
    <row r="101" spans="1:57" ht="19" x14ac:dyDescent="0.25">
      <c r="A101" s="64" t="s">
        <v>177</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58"/>
      <c r="AN101" s="58"/>
      <c r="AO101" s="58"/>
      <c r="AP101" s="58"/>
      <c r="AQ101" s="58"/>
      <c r="AR101" s="58"/>
      <c r="AS101" s="58"/>
      <c r="AT101" s="58"/>
      <c r="AU101" s="58"/>
      <c r="AV101" s="58"/>
      <c r="AW101" s="58"/>
      <c r="AX101" s="58"/>
      <c r="AY101" s="58"/>
      <c r="AZ101" s="58"/>
      <c r="BA101" s="58"/>
      <c r="BB101" s="58"/>
      <c r="BC101" s="58"/>
      <c r="BD101" s="58"/>
      <c r="BE101" s="58"/>
    </row>
    <row r="102" spans="1:57" ht="19" x14ac:dyDescent="0.25">
      <c r="A102" s="21" t="s">
        <v>223</v>
      </c>
    </row>
    <row r="103" spans="1:57" ht="19" x14ac:dyDescent="0.25">
      <c r="A103" s="21">
        <f>'Quant analysis'!B16</f>
        <v>0</v>
      </c>
    </row>
    <row r="113" spans="1:57" ht="19" x14ac:dyDescent="0.25">
      <c r="A113" s="113" t="s">
        <v>93</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2"/>
      <c r="AN113" s="112"/>
      <c r="AO113" s="112"/>
      <c r="AP113" s="112"/>
      <c r="AQ113" s="112"/>
      <c r="AR113" s="112"/>
      <c r="AS113" s="112"/>
      <c r="AT113" s="112"/>
      <c r="AU113" s="112"/>
      <c r="AV113" s="112"/>
      <c r="AW113" s="112"/>
      <c r="AX113" s="112"/>
      <c r="AY113" s="112"/>
      <c r="AZ113" s="112"/>
      <c r="BA113" s="112"/>
      <c r="BB113" s="112"/>
      <c r="BC113" s="112"/>
      <c r="BD113" s="112"/>
      <c r="BE113" s="112"/>
    </row>
    <row r="114" spans="1:57" ht="19" x14ac:dyDescent="0.25">
      <c r="A114" s="21" t="s">
        <v>223</v>
      </c>
    </row>
    <row r="115" spans="1:57" ht="19" x14ac:dyDescent="0.25">
      <c r="A115" s="21">
        <f>'Quant analysis'!B19</f>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D073-8974-47B3-80C1-B6E26D67A639}">
  <dimension ref="A1:FE71"/>
  <sheetViews>
    <sheetView topLeftCell="CZ13" zoomScale="130" zoomScaleNormal="130" zoomScaleSheetLayoutView="100" workbookViewId="0">
      <selection activeCell="AV2" sqref="AV2"/>
    </sheetView>
  </sheetViews>
  <sheetFormatPr baseColWidth="10" defaultColWidth="8.5" defaultRowHeight="15" x14ac:dyDescent="0.2"/>
  <cols>
    <col min="1" max="1" width="12" style="17" bestFit="1" customWidth="1"/>
    <col min="2" max="2" width="7" style="17" customWidth="1"/>
    <col min="3" max="3" width="3.5" style="17" customWidth="1"/>
    <col min="4" max="4" width="9" style="17" bestFit="1" customWidth="1"/>
    <col min="5" max="14" width="3.5" style="17" customWidth="1"/>
    <col min="15" max="15" width="3.5" style="17" bestFit="1" customWidth="1"/>
    <col min="16" max="19" width="3.5" style="17" customWidth="1"/>
    <col min="20" max="20" width="15" style="17" customWidth="1"/>
    <col min="21" max="32" width="3.5" style="17" customWidth="1"/>
    <col min="33" max="33" width="39.5" style="17" bestFit="1" customWidth="1"/>
    <col min="34" max="45" width="3.5" style="17" customWidth="1"/>
    <col min="46" max="46" width="18" style="17" customWidth="1"/>
    <col min="47" max="58" width="3.5" style="17" customWidth="1"/>
    <col min="59" max="59" width="13.33203125" style="17" customWidth="1"/>
    <col min="60" max="70" width="3.5" style="17" customWidth="1"/>
    <col min="71" max="71" width="4.5" style="17" customWidth="1"/>
    <col min="72" max="72" width="6.5" style="17" customWidth="1"/>
    <col min="73" max="73" width="38.83203125" style="17" bestFit="1" customWidth="1"/>
    <col min="74" max="74" width="3.5" style="69" customWidth="1"/>
    <col min="75" max="84" width="3.5" style="17" customWidth="1"/>
    <col min="85" max="85" width="8.5" style="17"/>
    <col min="86" max="86" width="14.5" style="17" customWidth="1"/>
    <col min="87" max="97" width="3.5" style="17" customWidth="1"/>
    <col min="98" max="98" width="6" style="17" customWidth="1"/>
    <col min="99" max="99" width="8.5" style="17"/>
    <col min="100" max="100" width="14.5" style="122" customWidth="1"/>
    <col min="101" max="101" width="10.5" style="17" customWidth="1"/>
    <col min="102" max="112" width="8.5" style="17"/>
    <col min="113" max="113" width="9.83203125" style="17" customWidth="1"/>
    <col min="114" max="122" width="8.5" style="17"/>
    <col min="123" max="123" width="17.33203125" style="124" customWidth="1"/>
    <col min="124" max="129" width="3.5" style="17" customWidth="1"/>
    <col min="130" max="131" width="8.5" style="17"/>
    <col min="132" max="132" width="10.5" style="17" customWidth="1"/>
    <col min="133" max="142" width="8.5" style="17"/>
    <col min="143" max="143" width="10.5" style="17" customWidth="1"/>
    <col min="144" max="152" width="8.5" style="17"/>
    <col min="153" max="153" width="10.5" style="17" customWidth="1"/>
    <col min="154" max="16384" width="8.5" style="17"/>
  </cols>
  <sheetData>
    <row r="1" spans="1:161" s="16" customFormat="1" x14ac:dyDescent="0.2">
      <c r="A1" s="16" t="s">
        <v>224</v>
      </c>
      <c r="D1" s="16" t="s">
        <v>0</v>
      </c>
      <c r="E1" s="16" t="s">
        <v>225</v>
      </c>
      <c r="F1" s="18" t="s">
        <v>135</v>
      </c>
      <c r="G1" s="18" t="s">
        <v>159</v>
      </c>
      <c r="H1" s="18" t="s">
        <v>142</v>
      </c>
      <c r="I1" s="18" t="s">
        <v>109</v>
      </c>
      <c r="J1" s="18" t="s">
        <v>157</v>
      </c>
      <c r="K1" s="106" t="s">
        <v>177</v>
      </c>
      <c r="L1" s="106" t="s">
        <v>100</v>
      </c>
      <c r="M1" s="106" t="s">
        <v>149</v>
      </c>
      <c r="N1" s="106" t="s">
        <v>93</v>
      </c>
      <c r="T1" s="16" t="s">
        <v>64</v>
      </c>
      <c r="U1" s="16" t="s">
        <v>225</v>
      </c>
      <c r="V1" s="18" t="s">
        <v>135</v>
      </c>
      <c r="W1" s="18" t="s">
        <v>159</v>
      </c>
      <c r="X1" s="18" t="s">
        <v>142</v>
      </c>
      <c r="Y1" s="18" t="s">
        <v>109</v>
      </c>
      <c r="Z1" s="18" t="s">
        <v>157</v>
      </c>
      <c r="AA1" s="106" t="s">
        <v>177</v>
      </c>
      <c r="AB1" s="106" t="s">
        <v>100</v>
      </c>
      <c r="AC1" s="106" t="s">
        <v>149</v>
      </c>
      <c r="AD1" s="106" t="s">
        <v>93</v>
      </c>
      <c r="AG1" s="16" t="s">
        <v>226</v>
      </c>
      <c r="AH1" s="16" t="s">
        <v>225</v>
      </c>
      <c r="AI1" s="18" t="s">
        <v>135</v>
      </c>
      <c r="AJ1" s="18" t="s">
        <v>159</v>
      </c>
      <c r="AK1" s="18" t="s">
        <v>142</v>
      </c>
      <c r="AL1" s="18" t="s">
        <v>109</v>
      </c>
      <c r="AM1" s="18" t="s">
        <v>157</v>
      </c>
      <c r="AN1" s="106" t="s">
        <v>177</v>
      </c>
      <c r="AO1" s="106" t="s">
        <v>100</v>
      </c>
      <c r="AP1" s="106" t="s">
        <v>149</v>
      </c>
      <c r="AQ1" s="106" t="s">
        <v>93</v>
      </c>
      <c r="AT1" s="16" t="s">
        <v>68</v>
      </c>
      <c r="AV1" s="18" t="s">
        <v>135</v>
      </c>
      <c r="AW1" s="18" t="s">
        <v>159</v>
      </c>
      <c r="AX1" s="18" t="s">
        <v>142</v>
      </c>
      <c r="AY1" s="18" t="s">
        <v>109</v>
      </c>
      <c r="AZ1" s="18" t="s">
        <v>157</v>
      </c>
      <c r="BA1" s="106" t="s">
        <v>177</v>
      </c>
      <c r="BB1" s="106" t="s">
        <v>100</v>
      </c>
      <c r="BC1" s="106" t="s">
        <v>149</v>
      </c>
      <c r="BD1" s="106" t="s">
        <v>93</v>
      </c>
      <c r="BE1" s="18"/>
      <c r="BG1" s="16" t="s">
        <v>227</v>
      </c>
      <c r="BH1" s="16" t="s">
        <v>225</v>
      </c>
      <c r="BI1" s="18" t="s">
        <v>135</v>
      </c>
      <c r="BJ1" s="18" t="s">
        <v>159</v>
      </c>
      <c r="BK1" s="18" t="s">
        <v>142</v>
      </c>
      <c r="BL1" s="18" t="s">
        <v>109</v>
      </c>
      <c r="BM1" s="18" t="s">
        <v>157</v>
      </c>
      <c r="BN1" s="106" t="s">
        <v>177</v>
      </c>
      <c r="BO1" s="106" t="s">
        <v>100</v>
      </c>
      <c r="BP1" s="106" t="s">
        <v>149</v>
      </c>
      <c r="BQ1" s="106" t="s">
        <v>93</v>
      </c>
      <c r="BT1" s="16" t="s">
        <v>228</v>
      </c>
      <c r="BU1" s="16" t="s">
        <v>229</v>
      </c>
      <c r="BV1" s="69" t="s">
        <v>225</v>
      </c>
      <c r="BW1" s="18" t="s">
        <v>135</v>
      </c>
      <c r="BX1" s="18" t="s">
        <v>159</v>
      </c>
      <c r="BY1" s="18" t="s">
        <v>142</v>
      </c>
      <c r="BZ1" s="18" t="s">
        <v>109</v>
      </c>
      <c r="CA1" s="18" t="s">
        <v>157</v>
      </c>
      <c r="CB1" s="106" t="s">
        <v>177</v>
      </c>
      <c r="CC1" s="106" t="s">
        <v>100</v>
      </c>
      <c r="CD1" s="106" t="s">
        <v>149</v>
      </c>
      <c r="CE1" s="106" t="s">
        <v>93</v>
      </c>
      <c r="CH1" s="57" t="s">
        <v>1</v>
      </c>
      <c r="CI1" s="69" t="s">
        <v>225</v>
      </c>
      <c r="CJ1" s="18" t="s">
        <v>135</v>
      </c>
      <c r="CK1" s="18" t="s">
        <v>159</v>
      </c>
      <c r="CL1" s="18" t="s">
        <v>142</v>
      </c>
      <c r="CM1" s="18" t="s">
        <v>109</v>
      </c>
      <c r="CN1" s="18" t="s">
        <v>157</v>
      </c>
      <c r="CO1" s="106" t="s">
        <v>177</v>
      </c>
      <c r="CP1" s="106" t="s">
        <v>100</v>
      </c>
      <c r="CQ1" s="106" t="s">
        <v>149</v>
      </c>
      <c r="CR1" s="106" t="s">
        <v>93</v>
      </c>
      <c r="CT1" s="16" t="s">
        <v>88</v>
      </c>
      <c r="CV1" s="121" t="s">
        <v>230</v>
      </c>
      <c r="CW1" s="57" t="s">
        <v>231</v>
      </c>
      <c r="CX1" s="57" t="s">
        <v>114</v>
      </c>
      <c r="CY1" s="57" t="s">
        <v>120</v>
      </c>
      <c r="CZ1" s="119" t="s">
        <v>232</v>
      </c>
      <c r="DA1" s="57" t="s">
        <v>101</v>
      </c>
      <c r="DB1" s="57" t="s">
        <v>95</v>
      </c>
      <c r="DC1" s="16" t="s">
        <v>233</v>
      </c>
      <c r="DG1" s="16" t="s">
        <v>234</v>
      </c>
      <c r="DH1" s="16" t="s">
        <v>228</v>
      </c>
      <c r="DI1" s="16" t="s">
        <v>229</v>
      </c>
      <c r="DJ1" s="69" t="s">
        <v>225</v>
      </c>
      <c r="DK1" s="68" t="s">
        <v>9</v>
      </c>
      <c r="DL1" s="68" t="s">
        <v>11</v>
      </c>
      <c r="DM1" s="68" t="s">
        <v>13</v>
      </c>
      <c r="DN1" s="68" t="s">
        <v>12</v>
      </c>
      <c r="DO1" s="68" t="s">
        <v>10</v>
      </c>
      <c r="DP1" s="68" t="s">
        <v>8</v>
      </c>
      <c r="DS1" s="123" t="s">
        <v>235</v>
      </c>
      <c r="DT1" s="156" t="s">
        <v>9</v>
      </c>
      <c r="DU1" s="156" t="s">
        <v>11</v>
      </c>
      <c r="DV1" s="156" t="s">
        <v>13</v>
      </c>
      <c r="DW1" s="156" t="s">
        <v>12</v>
      </c>
      <c r="DX1" s="156" t="s">
        <v>10</v>
      </c>
      <c r="DY1" s="156" t="s">
        <v>8</v>
      </c>
      <c r="EB1" s="57" t="s">
        <v>231</v>
      </c>
      <c r="EC1" s="57" t="s">
        <v>135</v>
      </c>
      <c r="ED1" s="57"/>
      <c r="EE1" s="119"/>
      <c r="EF1" s="57"/>
      <c r="EG1" s="57"/>
      <c r="EM1" s="57" t="s">
        <v>231</v>
      </c>
      <c r="EN1" s="57" t="s">
        <v>109</v>
      </c>
      <c r="EO1" s="57"/>
      <c r="EP1" s="119"/>
      <c r="EQ1" s="57"/>
      <c r="ER1" s="57"/>
      <c r="EW1" s="57" t="s">
        <v>231</v>
      </c>
      <c r="EX1" s="57" t="s">
        <v>157</v>
      </c>
      <c r="EY1" s="57"/>
      <c r="EZ1" s="119"/>
      <c r="FA1" s="57"/>
      <c r="FB1" s="57"/>
    </row>
    <row r="2" spans="1:161" x14ac:dyDescent="0.2">
      <c r="A2" s="129" t="s">
        <v>135</v>
      </c>
      <c r="B2" s="129">
        <f>COUNTIF(Outcomes!J:J,'Quant analysis'!A2)</f>
        <v>0</v>
      </c>
      <c r="C2" s="130"/>
      <c r="D2" s="129" t="s">
        <v>87</v>
      </c>
      <c r="E2" s="25">
        <f>COUNTIF(Outcomes!$I:$I,'Quant analysis'!$D2)</f>
        <v>0</v>
      </c>
      <c r="F2" s="19">
        <f>COUNTIFS(Outcomes!$I:$I,'Quant analysis'!$D2,Outcomes!$Q:$Q,F$1)</f>
        <v>0</v>
      </c>
      <c r="G2" s="19">
        <f>COUNTIFS(Outcomes!$I:$I,'Quant analysis'!$D2,Outcomes!$Q:$Q,G$1)</f>
        <v>0</v>
      </c>
      <c r="H2" s="19">
        <f>COUNTIFS(Outcomes!$I:$I,'Quant analysis'!$D2,Outcomes!$Q:$Q,H$1)</f>
        <v>0</v>
      </c>
      <c r="I2" s="19">
        <f>COUNTIFS(Outcomes!$I:$I,'Quant analysis'!$D2,Outcomes!$Q:$Q,I$1)</f>
        <v>0</v>
      </c>
      <c r="J2" s="19">
        <f>COUNTIFS(Outcomes!$I:$I,'Quant analysis'!$D2,Outcomes!$Q:$Q,J$1)</f>
        <v>0</v>
      </c>
      <c r="K2" s="105">
        <f>COUNTIFS(Outcomes!$I:$I,'Quant analysis'!$D2,Outcomes!$Q:$Q,K$1)</f>
        <v>0</v>
      </c>
      <c r="L2" s="105">
        <f>COUNTIFS(Outcomes!$I:$I,'Quant analysis'!$D2,Outcomes!$Q:$Q,L$1)</f>
        <v>0</v>
      </c>
      <c r="M2" s="105">
        <f>COUNTIFS(Outcomes!$I:$I,'Quant analysis'!$D2,Outcomes!$Q:$Q,M$1)</f>
        <v>0</v>
      </c>
      <c r="N2" s="105">
        <f>COUNTIFS(Outcomes!$I:$I,'Quant analysis'!$D2,Outcomes!$Q:$Q,N$1)</f>
        <v>0</v>
      </c>
      <c r="O2" s="130">
        <f>SUM(F2:N2)</f>
        <v>0</v>
      </c>
      <c r="P2" s="130"/>
      <c r="Q2" s="130"/>
      <c r="R2" s="130" t="s">
        <v>2</v>
      </c>
      <c r="S2" s="130" t="s">
        <v>236</v>
      </c>
      <c r="T2" s="129" t="s">
        <v>110</v>
      </c>
      <c r="U2" s="129">
        <f>COUNTIF(Outcomes!$L:$L,'Quant analysis'!$T2)</f>
        <v>0</v>
      </c>
      <c r="V2" s="19">
        <f>COUNTIFS(Outcomes!$L:$L,'Quant analysis'!$T2,Outcomes!$Q:$Q,V$1)</f>
        <v>0</v>
      </c>
      <c r="W2" s="19">
        <f>COUNTIFS(Outcomes!$L:$L,'Quant analysis'!$T2,Outcomes!$Q:$Q,W$1)</f>
        <v>0</v>
      </c>
      <c r="X2" s="19">
        <f>COUNTIFS(Outcomes!$L:$L,'Quant analysis'!$T2,Outcomes!$Q:$Q,X$1)</f>
        <v>0</v>
      </c>
      <c r="Y2" s="19">
        <f>COUNTIFS(Outcomes!$L:$L,'Quant analysis'!$T2,Outcomes!$Q:$Q,Y$1)</f>
        <v>0</v>
      </c>
      <c r="Z2" s="19">
        <f>COUNTIFS(Outcomes!$L:$L,'Quant analysis'!$T2,Outcomes!$Q:$Q,Z$1)</f>
        <v>0</v>
      </c>
      <c r="AA2" s="105">
        <f>COUNTIFS(Outcomes!$L:$L,'Quant analysis'!$T2,Outcomes!$Q:$Q,AA$1)</f>
        <v>0</v>
      </c>
      <c r="AB2" s="105">
        <f>COUNTIFS(Outcomes!$L:$L,'Quant analysis'!$T2,Outcomes!$Q:$Q,AB$1)</f>
        <v>0</v>
      </c>
      <c r="AC2" s="105">
        <f>COUNTIFS(Outcomes!$L:$L,'Quant analysis'!$T2,Outcomes!$Q:$Q,AC$1)</f>
        <v>0</v>
      </c>
      <c r="AD2" s="105">
        <f>COUNTIFS(Outcomes!$L:$L,'Quant analysis'!$T2,Outcomes!$Q:$Q,AD$1)</f>
        <v>0</v>
      </c>
      <c r="AE2" s="130">
        <f>SUM(V2:AD2)</f>
        <v>0</v>
      </c>
      <c r="AF2" s="130"/>
      <c r="AG2" s="14" t="s">
        <v>118</v>
      </c>
      <c r="AH2" s="129">
        <f>COUNTIF(Outcomes!O:O,'Quant analysis'!AG2)</f>
        <v>0</v>
      </c>
      <c r="AI2" s="19">
        <f>COUNTIFS(Outcomes!$O:$O,'Quant analysis'!$AG2,Outcomes!$Q:$Q,AI$1)</f>
        <v>0</v>
      </c>
      <c r="AJ2" s="19">
        <f>COUNTIFS(Outcomes!$O:$O,'Quant analysis'!$AG2,Outcomes!$Q:$Q,AJ$1)</f>
        <v>0</v>
      </c>
      <c r="AK2" s="19">
        <f>COUNTIFS(Outcomes!$O:$O,'Quant analysis'!$AG2,Outcomes!$Q:$Q,AK$1)</f>
        <v>0</v>
      </c>
      <c r="AL2" s="19">
        <f>COUNTIFS(Outcomes!$O:$O,'Quant analysis'!$AG2,Outcomes!$Q:$Q,AL$1)</f>
        <v>0</v>
      </c>
      <c r="AM2" s="19">
        <f>COUNTIFS(Outcomes!$O:$O,'Quant analysis'!$AG2,Outcomes!$Q:$Q,AM$1)</f>
        <v>0</v>
      </c>
      <c r="AN2" s="105">
        <f>COUNTIFS(Outcomes!$O:$O,'Quant analysis'!$AG2,Outcomes!$Q:$Q,AN$1)</f>
        <v>0</v>
      </c>
      <c r="AO2" s="105">
        <f>COUNTIFS(Outcomes!$O:$O,'Quant analysis'!$AG2,Outcomes!$Q:$Q,AO$1)</f>
        <v>0</v>
      </c>
      <c r="AP2" s="105">
        <f>COUNTIFS(Outcomes!$O:$O,'Quant analysis'!$AG2,Outcomes!$Q:$Q,AP$1)</f>
        <v>0</v>
      </c>
      <c r="AQ2" s="105">
        <f>COUNTIFS(Outcomes!$O:$O,'Quant analysis'!$AG2,Outcomes!$Q:$Q,AQ$1)</f>
        <v>0</v>
      </c>
      <c r="AR2" s="130">
        <f>SUM(AI2:AQ2)</f>
        <v>0</v>
      </c>
      <c r="AS2" s="130"/>
      <c r="AT2" s="129" t="s">
        <v>103</v>
      </c>
      <c r="AU2" s="129">
        <f>COUNTIF(Outcomes!P:P,'Quant analysis'!AT2)</f>
        <v>0</v>
      </c>
      <c r="AV2" s="19">
        <f>COUNTIFS(Outcomes!$P:$P,'Quant analysis'!$AT2,Outcomes!$Q:$Q,AV$1)</f>
        <v>0</v>
      </c>
      <c r="AW2" s="19">
        <f>COUNTIFS(Outcomes!$P:$P,'Quant analysis'!$AT2,Outcomes!$Q:$Q,AW$1)</f>
        <v>0</v>
      </c>
      <c r="AX2" s="19">
        <f>COUNTIFS(Outcomes!$P:$P,'Quant analysis'!$AT2,Outcomes!$Q:$Q,AX$1)</f>
        <v>0</v>
      </c>
      <c r="AY2" s="19">
        <f>COUNTIFS(Outcomes!$P:$P,'Quant analysis'!$AT2,Outcomes!$Q:$Q,AY$1)</f>
        <v>0</v>
      </c>
      <c r="AZ2" s="19">
        <f>COUNTIFS(Outcomes!$P:$P,'Quant analysis'!$AT2,Outcomes!$Q:$Q,AZ$1)</f>
        <v>0</v>
      </c>
      <c r="BA2" s="105">
        <f>COUNTIFS(Outcomes!$P:$P,'Quant analysis'!$AT2,Outcomes!$Q:$Q,BA$1)</f>
        <v>0</v>
      </c>
      <c r="BB2" s="105">
        <f>COUNTIFS(Outcomes!$P:$P,'Quant analysis'!$AT2,Outcomes!$Q:$Q,BB$1)</f>
        <v>0</v>
      </c>
      <c r="BC2" s="105">
        <f>COUNTIFS(Outcomes!$P:$P,'Quant analysis'!$AT2,Outcomes!$Q:$Q,BC$1)</f>
        <v>0</v>
      </c>
      <c r="BD2" s="105">
        <f>COUNTIFS(Outcomes!$P:$P,'Quant analysis'!$AT2,Outcomes!$Q:$Q,BD$1)</f>
        <v>0</v>
      </c>
      <c r="BE2" s="20">
        <f>SUM(AV2:BD2)</f>
        <v>0</v>
      </c>
      <c r="BF2" s="130"/>
      <c r="BG2" s="129" t="s">
        <v>119</v>
      </c>
      <c r="BH2" s="129">
        <f>COUNTIF(Outcomes!S:S,'Quant analysis'!BG2)</f>
        <v>0</v>
      </c>
      <c r="BI2" s="19">
        <f>COUNTIFS(Outcomes!$S:$S,'Quant analysis'!$BG2,Outcomes!$Q:$Q,BI$1)</f>
        <v>0</v>
      </c>
      <c r="BJ2" s="19">
        <f>COUNTIFS(Outcomes!$S:$S,'Quant analysis'!$BG2,Outcomes!$Q:$Q,BJ$1)</f>
        <v>0</v>
      </c>
      <c r="BK2" s="19">
        <f>COUNTIFS(Outcomes!$S:$S,'Quant analysis'!$BG2,Outcomes!$Q:$Q,BK$1)</f>
        <v>0</v>
      </c>
      <c r="BL2" s="19">
        <f>COUNTIFS(Outcomes!$S:$S,'Quant analysis'!$BG2,Outcomes!$Q:$Q,BL$1)</f>
        <v>0</v>
      </c>
      <c r="BM2" s="19">
        <f>COUNTIFS(Outcomes!$S:$S,'Quant analysis'!$BG2,Outcomes!$Q:$Q,BM$1)</f>
        <v>0</v>
      </c>
      <c r="BN2" s="105">
        <f>COUNTIFS(Outcomes!$S:$S,'Quant analysis'!$BG2,Outcomes!$Q:$Q,BN$1)</f>
        <v>0</v>
      </c>
      <c r="BO2" s="105">
        <f>COUNTIFS(Outcomes!$S:$S,'Quant analysis'!$BG2,Outcomes!$Q:$Q,BO$1)</f>
        <v>0</v>
      </c>
      <c r="BP2" s="105">
        <f>COUNTIFS(Outcomes!$S:$S,'Quant analysis'!$BG2,Outcomes!$Q:$Q,BP$1)</f>
        <v>0</v>
      </c>
      <c r="BQ2" s="105">
        <f>COUNTIFS(Outcomes!$S:$S,'Quant analysis'!$BG2,Outcomes!$Q:$Q,BQ$1)</f>
        <v>0</v>
      </c>
      <c r="BR2" s="130">
        <f>SUM(BI2:BQ2)</f>
        <v>0</v>
      </c>
      <c r="BS2" s="16"/>
      <c r="BT2" s="129"/>
      <c r="BU2" s="129" t="s">
        <v>121</v>
      </c>
      <c r="BV2" s="68">
        <f>COUNTIF(Outcomes!U:Y,'Quant analysis'!BU2)</f>
        <v>0</v>
      </c>
      <c r="BW2" s="19">
        <f>COUNTIFS(Outcomes!$U:$U,'Quant analysis'!$BU2,Outcomes!$Q:$Q,BW$1)+COUNTIFS(Outcomes!$V:$V,'Quant analysis'!$BU2,Outcomes!$Q:$Q,BW$1)+COUNTIFS(Outcomes!$W:$W,'Quant analysis'!$BU2,Outcomes!$Q:$Q,BW$1)+COUNTIFS(Outcomes!$X:$X,'Quant analysis'!$BU2,Outcomes!$Q:$Q,BW$1)+COUNTIFS(Outcomes!$Y:$Y,'Quant analysis'!$BU2,Outcomes!$Q:$Q,BW$1)</f>
        <v>0</v>
      </c>
      <c r="BX2" s="19">
        <f>COUNTIFS(Outcomes!$U:$U,'Quant analysis'!$BU2,Outcomes!$Q:$Q,BX$1)+COUNTIFS(Outcomes!$V:$V,'Quant analysis'!$BU2,Outcomes!$Q:$Q,BX$1)+COUNTIFS(Outcomes!$W:$W,'Quant analysis'!$BU2,Outcomes!$Q:$Q,BX$1)+COUNTIFS(Outcomes!$X:$X,'Quant analysis'!$BU2,Outcomes!$Q:$Q,BX$1)+COUNTIFS(Outcomes!$Y:$Y,'Quant analysis'!$BU2,Outcomes!$Q:$Q,BX$1)</f>
        <v>0</v>
      </c>
      <c r="BY2" s="19">
        <f>COUNTIFS(Outcomes!$U:$U,'Quant analysis'!$BU2,Outcomes!$Q:$Q,BY$1)+COUNTIFS(Outcomes!$V:$V,'Quant analysis'!$BU2,Outcomes!$Q:$Q,BY$1)+COUNTIFS(Outcomes!$W:$W,'Quant analysis'!$BU2,Outcomes!$Q:$Q,BY$1)+COUNTIFS(Outcomes!$X:$X,'Quant analysis'!$BU2,Outcomes!$Q:$Q,BY$1)+COUNTIFS(Outcomes!$Y:$Y,'Quant analysis'!$BU2,Outcomes!$Q:$Q,BY$1)</f>
        <v>0</v>
      </c>
      <c r="BZ2" s="19">
        <f>COUNTIFS(Outcomes!$U:$U,'Quant analysis'!$BU2,Outcomes!$Q:$Q,BZ$1)+COUNTIFS(Outcomes!$V:$V,'Quant analysis'!$BU2,Outcomes!$Q:$Q,BZ$1)+COUNTIFS(Outcomes!$W:$W,'Quant analysis'!$BU2,Outcomes!$Q:$Q,BZ$1)+COUNTIFS(Outcomes!$X:$X,'Quant analysis'!$BU2,Outcomes!$Q:$Q,BZ$1)+COUNTIFS(Outcomes!$Y:$Y,'Quant analysis'!$BU2,Outcomes!$Q:$Q,BZ$1)</f>
        <v>0</v>
      </c>
      <c r="CA2" s="19">
        <f>COUNTIFS(Outcomes!$U:$U,'Quant analysis'!$BU2,Outcomes!$Q:$Q,CA$1)+COUNTIFS(Outcomes!$V:$V,'Quant analysis'!$BU2,Outcomes!$Q:$Q,CA$1)+COUNTIFS(Outcomes!$W:$W,'Quant analysis'!$BU2,Outcomes!$Q:$Q,CA$1)+COUNTIFS(Outcomes!$X:$X,'Quant analysis'!$BU2,Outcomes!$Q:$Q,CA$1)+COUNTIFS(Outcomes!$Y:$Y,'Quant analysis'!$BU2,Outcomes!$Q:$Q,CA$1)</f>
        <v>0</v>
      </c>
      <c r="CB2" s="105">
        <f>COUNTIFS(Outcomes!$U:$U,'Quant analysis'!$BU2,Outcomes!$Q:$Q,CB$1)+COUNTIFS(Outcomes!$V:$V,'Quant analysis'!$BU2,Outcomes!$Q:$Q,CB$1)+COUNTIFS(Outcomes!$W:$W,'Quant analysis'!$BU2,Outcomes!$Q:$Q,CB$1)+COUNTIFS(Outcomes!$X:$X,'Quant analysis'!$BU2,Outcomes!$Q:$Q,CB$1)+COUNTIFS(Outcomes!$Y:$Y,'Quant analysis'!$BU2,Outcomes!$Q:$Q,CB$1)</f>
        <v>0</v>
      </c>
      <c r="CC2" s="105">
        <f>COUNTIFS(Outcomes!$U:$U,'Quant analysis'!$BU2,Outcomes!$Q:$Q,CC$1)+COUNTIFS(Outcomes!$V:$V,'Quant analysis'!$BU2,Outcomes!$Q:$Q,CC$1)+COUNTIFS(Outcomes!$W:$W,'Quant analysis'!$BU2,Outcomes!$Q:$Q,CC$1)+COUNTIFS(Outcomes!$X:$X,'Quant analysis'!$BU2,Outcomes!$Q:$Q,CC$1)+COUNTIFS(Outcomes!$Y:$Y,'Quant analysis'!$BU2,Outcomes!$Q:$Q,CC$1)</f>
        <v>0</v>
      </c>
      <c r="CD2" s="105">
        <f>COUNTIFS(Outcomes!$U:$U,'Quant analysis'!$BU2,Outcomes!$Q:$Q,CD$1)+COUNTIFS(Outcomes!$V:$V,'Quant analysis'!$BU2,Outcomes!$Q:$Q,CD$1)+COUNTIFS(Outcomes!$W:$W,'Quant analysis'!$BU2,Outcomes!$Q:$Q,CD$1)+COUNTIFS(Outcomes!$X:$X,'Quant analysis'!$BU2,Outcomes!$Q:$Q,CD$1)+COUNTIFS(Outcomes!$Y:$Y,'Quant analysis'!$BU2,Outcomes!$Q:$Q,CD$1)</f>
        <v>0</v>
      </c>
      <c r="CE2" s="105">
        <f>COUNTIFS(Outcomes!$U:$U,'Quant analysis'!$BU2,Outcomes!$Q:$Q,CE$1)+COUNTIFS(Outcomes!$V:$V,'Quant analysis'!$BU2,Outcomes!$Q:$Q,CE$1)+COUNTIFS(Outcomes!$W:$W,'Quant analysis'!$BU2,Outcomes!$Q:$Q,CE$1)+COUNTIFS(Outcomes!$X:$X,'Quant analysis'!$BU2,Outcomes!$Q:$Q,CE$1)+COUNTIFS(Outcomes!$Y:$Y,'Quant analysis'!$BU2,Outcomes!$Q:$Q,CE$1)</f>
        <v>0</v>
      </c>
      <c r="CF2" s="129">
        <f>SUM(BW2:CE2)</f>
        <v>0</v>
      </c>
      <c r="CG2" s="130"/>
      <c r="CH2" s="129" t="s">
        <v>114</v>
      </c>
      <c r="CI2" s="129">
        <f>COUNTIF(Table1[Level of influence],'Quant analysis'!CH2)</f>
        <v>0</v>
      </c>
      <c r="CJ2" s="129">
        <f>COUNTIFS(Table1[Country/ Region/ Global],'Quant analysis'!CJ1,Table1[Level of influence],'Quant analysis'!CH2)</f>
        <v>0</v>
      </c>
      <c r="CK2" s="129">
        <f>COUNTIFS(Table1[Country/ Region/ Global],'Quant analysis'!CK1,Table1[Level of influence],'Quant analysis'!CH2)</f>
        <v>0</v>
      </c>
      <c r="CL2" s="129">
        <f>COUNTIFS(Table1[Country/ Region/ Global],'Quant analysis'!CL$1,Table1[Level of influence],'Quant analysis'!$CH2)</f>
        <v>0</v>
      </c>
      <c r="CM2" s="129">
        <f>COUNTIFS(Table1[Country/ Region/ Global],'Quant analysis'!CM$1,Table1[Level of influence],'Quant analysis'!$CH2)</f>
        <v>0</v>
      </c>
      <c r="CN2" s="129">
        <f>COUNTIFS(Table1[Country/ Region/ Global],'Quant analysis'!CN$1,Table1[Level of influence],'Quant analysis'!$CH2)</f>
        <v>0</v>
      </c>
      <c r="CO2" s="129">
        <f>COUNTIFS(Table1[Country/ Region/ Global],'Quant analysis'!CO$1,Table1[Level of influence],'Quant analysis'!$CH2)</f>
        <v>0</v>
      </c>
      <c r="CP2" s="129">
        <f>COUNTIFS(Table1[Country/ Region/ Global],'Quant analysis'!CP$1,Table1[Level of influence],'Quant analysis'!$CH$2)</f>
        <v>0</v>
      </c>
      <c r="CQ2" s="129">
        <f>COUNTIFS(Table1[Country/ Region/ Global],'Quant analysis'!CQ$1,Table1[Level of influence],'Quant analysis'!$CH2)</f>
        <v>0</v>
      </c>
      <c r="CR2" s="129">
        <f>COUNTIFS(Table1[Country/ Region/ Global],'Quant analysis'!CR$1,Table1[Level of influence],'Quant analysis'!$CH2)</f>
        <v>0</v>
      </c>
      <c r="CS2" s="130">
        <f>SUM(CJ2:CR2)</f>
        <v>0</v>
      </c>
      <c r="CT2" s="130">
        <f>CO2+CP2+CQ2+CR2</f>
        <v>0</v>
      </c>
      <c r="CU2" s="130"/>
      <c r="CV2" s="131"/>
      <c r="CW2" s="129" t="s">
        <v>9</v>
      </c>
      <c r="CX2" s="129">
        <f>COUNTIFS(Table1[Level of influence],'Quant analysis'!CX1,Table1[The Six Conditions of Systems Change (WORK IN PROGRESS)],'Quant analysis'!CW2)</f>
        <v>0</v>
      </c>
      <c r="CY2" s="129">
        <f>COUNTIFS(Table1[Level of influence],'Quant analysis'!CY1,Table1[The Six Conditions of Systems Change (WORK IN PROGRESS)],'Quant analysis'!CW2)</f>
        <v>0</v>
      </c>
      <c r="CZ2" s="120">
        <f>CX2+CY2</f>
        <v>0</v>
      </c>
      <c r="DA2" s="129">
        <f>COUNTIFS(Table1[Level of influence],'Quant analysis'!DA1,Table1[The Six Conditions of Systems Change (WORK IN PROGRESS)],'Quant analysis'!CW2)</f>
        <v>0</v>
      </c>
      <c r="DB2" s="129">
        <f>COUNTIFS(Table1[Level of influence],'Quant analysis'!DB1,Table1[The Six Conditions of Systems Change (WORK IN PROGRESS)],'Quant analysis'!CW2)</f>
        <v>0</v>
      </c>
      <c r="DC2" s="69">
        <f>SUM(CZ2:DB2)</f>
        <v>0</v>
      </c>
      <c r="DD2" s="130"/>
      <c r="DE2" s="130"/>
      <c r="DF2" s="130"/>
      <c r="DG2" s="130"/>
      <c r="DH2" s="129"/>
      <c r="DI2" s="129" t="s">
        <v>121</v>
      </c>
      <c r="DJ2" s="68">
        <f>SUM(DK2:DP2)</f>
        <v>0</v>
      </c>
      <c r="DK2" s="19">
        <f>COUNTIFS(Table1[Level of influence],"subnational",Table1[The Six Conditions of Systems Change (WORK IN PROGRESS)],"Policies",Table1[Output contribution 1],'Quant analysis'!DI2)+COUNTIFS(Table1[Level of influence],"subnational",Table1[The Six Conditions of Systems Change (WORK IN PROGRESS)],"Policies",Table1[Output contribution 2],'Quant analysis'!DI2)+COUNTIFS(Table1[Level of influence],"subnational",Table1[The Six Conditions of Systems Change (WORK IN PROGRESS)],"Policies",Table1[Output contribution 3],'Quant analysis'!DI2)+COUNTIFS(Table1[Level of influence],"subnational",Table1[The Six Conditions of Systems Change (WORK IN PROGRESS)],"Policies",Table1[Output contribution 4],'Quant analysis'!DI2)+COUNTIFS(Table1[Level of influence],"subnational",Table1[The Six Conditions of Systems Change (WORK IN PROGRESS)],"Policies",Table1[Output contribution 5],'Quant analysis'!DI2)+COUNTIFS(Table1[Level of influence],"national",Table1[The Six Conditions of Systems Change (WORK IN PROGRESS)],"Policies",Table1[Output contribution 1],'Quant analysis'!DI2)+COUNTIFS(Table1[Level of influence],"national",Table1[The Six Conditions of Systems Change (WORK IN PROGRESS)],"Policies",Table1[Output contribution 2],'Quant analysis'!DI2)+COUNTIFS(Table1[Level of influence],"national",Table1[The Six Conditions of Systems Change (WORK IN PROGRESS)],"Policies",Table1[Output contribution 3],'Quant analysis'!DI2)+COUNTIFS(Table1[Level of influence],"national",Table1[The Six Conditions of Systems Change (WORK IN PROGRESS)],"Policies",Table1[Output contribution 4],'Quant analysis'!DI2)+COUNTIFS(Table1[Level of influence],"national",Table1[The Six Conditions of Systems Change (WORK IN PROGRESS)],"Policies",Table1[Output contribution 5],'Quant analysis'!DI2)</f>
        <v>0</v>
      </c>
      <c r="DL2" s="19">
        <f>COUNTIFS(Table1[Level of influence],"subnational",Table1[The Six Conditions of Systems Change (WORK IN PROGRESS)],"Practices",Table1[Output contribution 1],'Quant analysis'!$DI2)+COUNTIFS(Table1[Level of influence],"subnational",Table1[The Six Conditions of Systems Change (WORK IN PROGRESS)],"Practices",Table1[Output contribution 2],'Quant analysis'!$DI2)+COUNTIFS(Table1[Level of influence],"subnational",Table1[The Six Conditions of Systems Change (WORK IN PROGRESS)],"Practices",Table1[Output contribution 3],'Quant analysis'!$DI2)+COUNTIFS(Table1[Level of influence],"subnational",Table1[The Six Conditions of Systems Change (WORK IN PROGRESS)],"Practices",Table1[Output contribution 4],'Quant analysis'!$DI2)+COUNTIFS(Table1[Level of influence],"subnational",Table1[The Six Conditions of Systems Change (WORK IN PROGRESS)],"Practices",Table1[Output contribution 5],'Quant analysis'!$DI2)+COUNTIFS(Table1[Level of influence],"national",Table1[The Six Conditions of Systems Change (WORK IN PROGRESS)],"Practices",Table1[Output contribution 1],'Quant analysis'!$DI2)+COUNTIFS(Table1[Level of influence],"national",Table1[The Six Conditions of Systems Change (WORK IN PROGRESS)],"Practices",Table1[Output contribution 2],'Quant analysis'!$DI2)+COUNTIFS(Table1[Level of influence],"national",Table1[The Six Conditions of Systems Change (WORK IN PROGRESS)],"Practices",Table1[Output contribution 3],'Quant analysis'!$DI2)+COUNTIFS(Table1[Level of influence],"national",Table1[The Six Conditions of Systems Change (WORK IN PROGRESS)],"Practices",Table1[Output contribution 4],'Quant analysis'!$DI2)+COUNTIFS(Table1[Level of influence],"national",Table1[The Six Conditions of Systems Change (WORK IN PROGRESS)],"Practices",Table1[Output contribution 5],'Quant analysis'!$DI2)</f>
        <v>0</v>
      </c>
      <c r="DM2" s="19">
        <f>COUNTIFS(Table1[Level of influence],"subnational",Table1[The Six Conditions of Systems Change (WORK IN PROGRESS)],DM$1,Table1[Output contribution 1],'Quant analysis'!$DI2)+COUNTIFS(Table1[Level of influence],"subnational",Table1[The Six Conditions of Systems Change (WORK IN PROGRESS)],DM$1,Table1[Output contribution 2],'Quant analysis'!$DI2)+COUNTIFS(Table1[Level of influence],"subnational",Table1[The Six Conditions of Systems Change (WORK IN PROGRESS)],DM$1,Table1[Output contribution 3],'Quant analysis'!$DI2)+COUNTIFS(Table1[Level of influence],"subnational",Table1[The Six Conditions of Systems Change (WORK IN PROGRESS)],DM$1,Table1[Output contribution 4],'Quant analysis'!$DI2)+COUNTIFS(Table1[Level of influence],"subnational",Table1[The Six Conditions of Systems Change (WORK IN PROGRESS)],DM$1,Table1[Output contribution 5],'Quant analysis'!$DI2)+COUNTIFS(Table1[Level of influence],"national",Table1[The Six Conditions of Systems Change (WORK IN PROGRESS)],DM$1,Table1[Output contribution 1],'Quant analysis'!$DI2)+COUNTIFS(Table1[Level of influence],"national",Table1[The Six Conditions of Systems Change (WORK IN PROGRESS)],DM$1,Table1[Output contribution 2],'Quant analysis'!$DI2)+COUNTIFS(Table1[Level of influence],"national",Table1[The Six Conditions of Systems Change (WORK IN PROGRESS)],DM$1,Table1[Output contribution 3],'Quant analysis'!$DI2)+COUNTIFS(Table1[Level of influence],"national",Table1[The Six Conditions of Systems Change (WORK IN PROGRESS)],DM$1,Table1[Output contribution 4],'Quant analysis'!$DI2)+COUNTIFS(Table1[Level of influence],"national",Table1[The Six Conditions of Systems Change (WORK IN PROGRESS)],DM$1,Table1[Output contribution 5],'Quant analysis'!$DI2)</f>
        <v>0</v>
      </c>
      <c r="DN2" s="19">
        <f>COUNTIFS(Table1[Level of influence],"subnational",Table1[The Six Conditions of Systems Change (WORK IN PROGRESS)],DN$1,Table1[Output contribution 1],'Quant analysis'!$DI2)+COUNTIFS(Table1[Level of influence],"subnational",Table1[The Six Conditions of Systems Change (WORK IN PROGRESS)],DN$1,Table1[Output contribution 2],'Quant analysis'!$DI2)+COUNTIFS(Table1[Level of influence],"subnational",Table1[The Six Conditions of Systems Change (WORK IN PROGRESS)],DN$1,Table1[Output contribution 3],'Quant analysis'!$DI2)+COUNTIFS(Table1[Level of influence],"subnational",Table1[The Six Conditions of Systems Change (WORK IN PROGRESS)],DN$1,Table1[Output contribution 4],'Quant analysis'!$DI2)+COUNTIFS(Table1[Level of influence],"subnational",Table1[The Six Conditions of Systems Change (WORK IN PROGRESS)],DN$1,Table1[Output contribution 5],'Quant analysis'!$DI2)+COUNTIFS(Table1[Level of influence],"national",Table1[The Six Conditions of Systems Change (WORK IN PROGRESS)],DN$1,Table1[Output contribution 1],'Quant analysis'!$DI2)+COUNTIFS(Table1[Level of influence],"national",Table1[The Six Conditions of Systems Change (WORK IN PROGRESS)],DN$1,Table1[Output contribution 2],'Quant analysis'!$DI2)+COUNTIFS(Table1[Level of influence],"national",Table1[The Six Conditions of Systems Change (WORK IN PROGRESS)],DN$1,Table1[Output contribution 3],'Quant analysis'!$DI2)+COUNTIFS(Table1[Level of influence],"national",Table1[The Six Conditions of Systems Change (WORK IN PROGRESS)],DN$1,Table1[Output contribution 4],'Quant analysis'!$DI2)+COUNTIFS(Table1[Level of influence],"national",Table1[The Six Conditions of Systems Change (WORK IN PROGRESS)],DN$1,Table1[Output contribution 5],'Quant analysis'!$DI2)</f>
        <v>0</v>
      </c>
      <c r="DO2" s="19">
        <f>COUNTIFS(Table1[Level of influence],"subnational",Table1[The Six Conditions of Systems Change (WORK IN PROGRESS)],DO$1,Table1[Output contribution 1],'Quant analysis'!$DI2)+COUNTIFS(Table1[Level of influence],"subnational",Table1[The Six Conditions of Systems Change (WORK IN PROGRESS)],DO$1,Table1[Output contribution 2],'Quant analysis'!$DI2)+COUNTIFS(Table1[Level of influence],"subnational",Table1[The Six Conditions of Systems Change (WORK IN PROGRESS)],DO$1,Table1[Output contribution 3],'Quant analysis'!$DI2)+COUNTIFS(Table1[Level of influence],"subnational",Table1[The Six Conditions of Systems Change (WORK IN PROGRESS)],DO$1,Table1[Output contribution 4],'Quant analysis'!$DI2)+COUNTIFS(Table1[Level of influence],"subnational",Table1[The Six Conditions of Systems Change (WORK IN PROGRESS)],DO$1,Table1[Output contribution 5],'Quant analysis'!$DI2)+COUNTIFS(Table1[Level of influence],"national",Table1[The Six Conditions of Systems Change (WORK IN PROGRESS)],DO$1,Table1[Output contribution 1],'Quant analysis'!$DI2)+COUNTIFS(Table1[Level of influence],"national",Table1[The Six Conditions of Systems Change (WORK IN PROGRESS)],DO$1,Table1[Output contribution 2],'Quant analysis'!$DI2)+COUNTIFS(Table1[Level of influence],"national",Table1[The Six Conditions of Systems Change (WORK IN PROGRESS)],DO$1,Table1[Output contribution 3],'Quant analysis'!$DI2)+COUNTIFS(Table1[Level of influence],"national",Table1[The Six Conditions of Systems Change (WORK IN PROGRESS)],DO$1,Table1[Output contribution 4],'Quant analysis'!$DI2)+COUNTIFS(Table1[Level of influence],"national",Table1[The Six Conditions of Systems Change (WORK IN PROGRESS)],DO$1,Table1[Output contribution 5],'Quant analysis'!$DI2)</f>
        <v>0</v>
      </c>
      <c r="DP2" s="19">
        <f>COUNTIFS(Table1[Level of influence],"subnational",Table1[The Six Conditions of Systems Change (WORK IN PROGRESS)],DP$1,Table1[Output contribution 1],'Quant analysis'!$DI2)+COUNTIFS(Table1[Level of influence],"subnational",Table1[The Six Conditions of Systems Change (WORK IN PROGRESS)],DP$1,Table1[Output contribution 2],'Quant analysis'!$DI2)+COUNTIFS(Table1[Level of influence],"subnational",Table1[The Six Conditions of Systems Change (WORK IN PROGRESS)],DP$1,Table1[Output contribution 3],'Quant analysis'!$DI2)+COUNTIFS(Table1[Level of influence],"subnational",Table1[The Six Conditions of Systems Change (WORK IN PROGRESS)],DP$1,Table1[Output contribution 4],'Quant analysis'!$DI2)+COUNTIFS(Table1[Level of influence],"subnational",Table1[The Six Conditions of Systems Change (WORK IN PROGRESS)],DP$1,Table1[Output contribution 5],'Quant analysis'!$DI2)+COUNTIFS(Table1[Level of influence],"national",Table1[The Six Conditions of Systems Change (WORK IN PROGRESS)],DP$1,Table1[Output contribution 1],'Quant analysis'!$DI2)+COUNTIFS(Table1[Level of influence],"national",Table1[The Six Conditions of Systems Change (WORK IN PROGRESS)],DP$1,Table1[Output contribution 2],'Quant analysis'!$DI2)+COUNTIFS(Table1[Level of influence],"national",Table1[The Six Conditions of Systems Change (WORK IN PROGRESS)],DP$1,Table1[Output contribution 3],'Quant analysis'!$DI2)+COUNTIFS(Table1[Level of influence],"national",Table1[The Six Conditions of Systems Change (WORK IN PROGRESS)],DP$1,Table1[Output contribution 4],'Quant analysis'!$DI2)+COUNTIFS(Table1[Level of influence],"national",Table1[The Six Conditions of Systems Change (WORK IN PROGRESS)],DP$1,Table1[Output contribution 5],'Quant analysis'!$DI2)</f>
        <v>0</v>
      </c>
      <c r="DQ2" s="130"/>
      <c r="DR2" s="130"/>
      <c r="DS2" s="157" t="s">
        <v>237</v>
      </c>
      <c r="DT2" s="129">
        <f>COUNTIFS(Table1[The Six Conditions of Systems Change (WORK IN PROGRESS)],'Quant analysis'!DT$1,Table1[Level of influence],"subnational",Table1['# of quarters between first contribution statement ],'Quant analysis'!$DS2)+COUNTIFS(Table1[The Six Conditions of Systems Change (WORK IN PROGRESS)],'Quant analysis'!DT$1,Table1[Level of influence],"national",Table1['# of quarters between first contribution statement ],'Quant analysis'!$DS2)</f>
        <v>0</v>
      </c>
      <c r="DU2" s="129">
        <f>COUNTIFS(Table1[The Six Conditions of Systems Change (WORK IN PROGRESS)],'Quant analysis'!DU$1,Table1[Level of influence],"subnational",Table1['# of quarters between first contribution statement ],'Quant analysis'!$DS2)+COUNTIFS(Table1[The Six Conditions of Systems Change (WORK IN PROGRESS)],'Quant analysis'!DU$1,Table1[Level of influence],"national",Table1['# of quarters between first contribution statement ],'Quant analysis'!$DS2)</f>
        <v>0</v>
      </c>
      <c r="DV2" s="129">
        <f>COUNTIFS(Table1[The Six Conditions of Systems Change (WORK IN PROGRESS)],'Quant analysis'!DV$1,Table1[Level of influence],"subnational",Table1['# of quarters between first contribution statement ],'Quant analysis'!$DS2)+COUNTIFS(Table1[The Six Conditions of Systems Change (WORK IN PROGRESS)],'Quant analysis'!DV$1,Table1[Level of influence],"national",Table1['# of quarters between first contribution statement ],'Quant analysis'!$DS2)</f>
        <v>0</v>
      </c>
      <c r="DW2" s="129">
        <f>COUNTIFS(Table1[The Six Conditions of Systems Change (WORK IN PROGRESS)],'Quant analysis'!DW$1,Table1[Level of influence],"subnational",Table1['# of quarters between first contribution statement ],'Quant analysis'!$DS2)+COUNTIFS(Table1[The Six Conditions of Systems Change (WORK IN PROGRESS)],'Quant analysis'!DW$1,Table1[Level of influence],"national",Table1['# of quarters between first contribution statement ],'Quant analysis'!$DS2)</f>
        <v>0</v>
      </c>
      <c r="DX2" s="129">
        <f>COUNTIFS(Table1[The Six Conditions of Systems Change (WORK IN PROGRESS)],'Quant analysis'!DX$1,Table1[Level of influence],"subnational",Table1['# of quarters between first contribution statement ],'Quant analysis'!$DS2)+COUNTIFS(Table1[The Six Conditions of Systems Change (WORK IN PROGRESS)],'Quant analysis'!DX$1,Table1[Level of influence],"national",Table1['# of quarters between first contribution statement ],'Quant analysis'!$DS2)</f>
        <v>0</v>
      </c>
      <c r="DY2" s="129">
        <f>COUNTIFS(Table1[The Six Conditions of Systems Change (WORK IN PROGRESS)],'Quant analysis'!DY$1,Table1[Level of influence],"subnational",Table1['# of quarters between first contribution statement ],'Quant analysis'!$DS2)+COUNTIFS(Table1[The Six Conditions of Systems Change (WORK IN PROGRESS)],'Quant analysis'!DY$1,Table1[Level of influence],"national",Table1['# of quarters between first contribution statement ],'Quant analysis'!$DS2)</f>
        <v>0</v>
      </c>
      <c r="DZ2" s="129"/>
      <c r="EA2" s="130"/>
      <c r="EB2" s="129" t="s">
        <v>9</v>
      </c>
      <c r="EC2" s="129">
        <f>COUNTIFS(Table1[Country/ Region/ Global],'Quant analysis'!$EC$1,Table1[The Six Conditions of Systems Change (WORK IN PROGRESS)],'Quant analysis'!EB2)</f>
        <v>0</v>
      </c>
      <c r="ED2" s="129"/>
      <c r="EE2" s="120"/>
      <c r="EF2" s="129"/>
      <c r="EG2" s="129"/>
      <c r="EH2" s="69"/>
      <c r="EI2" s="130"/>
      <c r="EJ2" s="130"/>
      <c r="EK2" s="130"/>
      <c r="EL2" s="130"/>
      <c r="EM2" s="129" t="s">
        <v>9</v>
      </c>
      <c r="EN2" s="129">
        <f>COUNTIFS(Table1[Country/ Region/ Global],'Quant analysis'!$EN$1,Table1[The Six Conditions of Systems Change (WORK IN PROGRESS)],'Quant analysis'!EM2)</f>
        <v>0</v>
      </c>
      <c r="EO2" s="129"/>
      <c r="EP2" s="120"/>
      <c r="EQ2" s="129"/>
      <c r="ER2" s="129"/>
      <c r="ES2" s="69"/>
      <c r="ET2" s="130"/>
      <c r="EU2" s="130"/>
      <c r="EV2" s="130"/>
      <c r="EW2" s="129" t="s">
        <v>9</v>
      </c>
      <c r="EX2" s="129">
        <f>COUNTIFS(Table1[Country/ Region/ Global],'Quant analysis'!$EX$1,Table1[The Six Conditions of Systems Change (WORK IN PROGRESS)],'Quant analysis'!EW2)</f>
        <v>0</v>
      </c>
      <c r="EY2" s="129"/>
      <c r="EZ2" s="120"/>
      <c r="FA2" s="129"/>
      <c r="FB2" s="129"/>
      <c r="FC2" s="69"/>
      <c r="FD2" s="130"/>
      <c r="FE2" s="130"/>
    </row>
    <row r="3" spans="1:161" ht="16" x14ac:dyDescent="0.2">
      <c r="A3" s="129" t="s">
        <v>159</v>
      </c>
      <c r="B3" s="129">
        <f>COUNTIF(Outcomes!J:J,'Quant analysis'!A3)</f>
        <v>0</v>
      </c>
      <c r="C3" s="130"/>
      <c r="D3" s="129" t="s">
        <v>146</v>
      </c>
      <c r="E3" s="129">
        <f>COUNTIF(Outcomes!I:I,'Quant analysis'!D3)</f>
        <v>0</v>
      </c>
      <c r="F3" s="19">
        <f>COUNTIFS(Outcomes!$I:$I,'Quant analysis'!$D3,Outcomes!$Q:$Q,F$1)</f>
        <v>0</v>
      </c>
      <c r="G3" s="19">
        <f>COUNTIFS(Outcomes!$I:$I,'Quant analysis'!$D3,Outcomes!$Q:$Q,G$1)</f>
        <v>0</v>
      </c>
      <c r="H3" s="19">
        <f>COUNTIFS(Outcomes!$I:$I,'Quant analysis'!$D3,Outcomes!$Q:$Q,H$1)</f>
        <v>0</v>
      </c>
      <c r="I3" s="19">
        <f>COUNTIFS(Outcomes!$I:$I,'Quant analysis'!$D3,Outcomes!$Q:$Q,I$1)</f>
        <v>0</v>
      </c>
      <c r="J3" s="19">
        <f>COUNTIFS(Outcomes!$I:$I,'Quant analysis'!$D3,Outcomes!$Q:$Q,J$1)</f>
        <v>0</v>
      </c>
      <c r="K3" s="105">
        <f>COUNTIFS(Outcomes!$I:$I,'Quant analysis'!$D3,Outcomes!$Q:$Q,K$1)</f>
        <v>0</v>
      </c>
      <c r="L3" s="105">
        <f>COUNTIFS(Outcomes!$I:$I,'Quant analysis'!$D3,Outcomes!$Q:$Q,L$1)</f>
        <v>0</v>
      </c>
      <c r="M3" s="105">
        <f>COUNTIFS(Outcomes!$I:$I,'Quant analysis'!$D3,Outcomes!$Q:$Q,M$1)</f>
        <v>0</v>
      </c>
      <c r="N3" s="105">
        <f>COUNTIFS(Outcomes!$I:$I,'Quant analysis'!$D3,Outcomes!$Q:$Q,N$1)</f>
        <v>0</v>
      </c>
      <c r="O3" s="130">
        <f>SUM(F3:N3)</f>
        <v>0</v>
      </c>
      <c r="P3" s="130"/>
      <c r="Q3" s="130"/>
      <c r="R3" s="130"/>
      <c r="S3" s="130" t="s">
        <v>238</v>
      </c>
      <c r="T3" s="129" t="s">
        <v>89</v>
      </c>
      <c r="U3" s="129">
        <f>COUNTIF(Outcomes!$L:$L,'Quant analysis'!$T3)</f>
        <v>0</v>
      </c>
      <c r="V3" s="19">
        <f>COUNTIFS(Outcomes!$L:$L,'Quant analysis'!$T3,Outcomes!$Q:$Q,V$1)</f>
        <v>0</v>
      </c>
      <c r="W3" s="19">
        <f>COUNTIFS(Outcomes!$L:$L,'Quant analysis'!$T3,Outcomes!$Q:$Q,W$1)</f>
        <v>0</v>
      </c>
      <c r="X3" s="19">
        <f>COUNTIFS(Outcomes!$L:$L,'Quant analysis'!$T3,Outcomes!$Q:$Q,X$1)</f>
        <v>0</v>
      </c>
      <c r="Y3" s="19">
        <f>COUNTIFS(Outcomes!$L:$L,'Quant analysis'!$T3,Outcomes!$Q:$Q,Y$1)</f>
        <v>0</v>
      </c>
      <c r="Z3" s="19">
        <f>COUNTIFS(Outcomes!$L:$L,'Quant analysis'!$T3,Outcomes!$Q:$Q,Z$1)</f>
        <v>0</v>
      </c>
      <c r="AA3" s="105">
        <f>COUNTIFS(Outcomes!$L:$L,'Quant analysis'!$T3,Outcomes!$Q:$Q,AA$1)</f>
        <v>0</v>
      </c>
      <c r="AB3" s="105">
        <f>COUNTIFS(Outcomes!$L:$L,'Quant analysis'!$T3,Outcomes!$Q:$Q,AB$1)</f>
        <v>0</v>
      </c>
      <c r="AC3" s="105">
        <f>COUNTIFS(Outcomes!$L:$L,'Quant analysis'!$T3,Outcomes!$Q:$Q,AC$1)</f>
        <v>0</v>
      </c>
      <c r="AD3" s="105">
        <f>COUNTIFS(Outcomes!$L:$L,'Quant analysis'!$T3,Outcomes!$Q:$Q,AD$1)</f>
        <v>0</v>
      </c>
      <c r="AE3" s="130">
        <f t="shared" ref="AE3:AE29" si="0">SUM(V3:AD3)</f>
        <v>0</v>
      </c>
      <c r="AF3" s="130"/>
      <c r="AG3" s="1" t="s">
        <v>141</v>
      </c>
      <c r="AH3" s="129">
        <f>COUNTIF(Outcomes!O:O,'Quant analysis'!AG3)</f>
        <v>0</v>
      </c>
      <c r="AI3" s="19">
        <f>COUNTIFS(Outcomes!$O:$O,'Quant analysis'!$AG3,Outcomes!$Q:$Q,AI$1)</f>
        <v>0</v>
      </c>
      <c r="AJ3" s="19">
        <f>COUNTIFS(Outcomes!$O:$O,'Quant analysis'!$AG3,Outcomes!$Q:$Q,AJ$1)</f>
        <v>0</v>
      </c>
      <c r="AK3" s="19">
        <f>COUNTIFS(Outcomes!$O:$O,'Quant analysis'!$AG3,Outcomes!$Q:$Q,AK$1)</f>
        <v>0</v>
      </c>
      <c r="AL3" s="19">
        <f>COUNTIFS(Outcomes!$O:$O,'Quant analysis'!$AG3,Outcomes!$Q:$Q,AL$1)</f>
        <v>0</v>
      </c>
      <c r="AM3" s="19">
        <f>COUNTIFS(Outcomes!$O:$O,'Quant analysis'!$AG3,Outcomes!$Q:$Q,AM$1)</f>
        <v>0</v>
      </c>
      <c r="AN3" s="105">
        <f>COUNTIFS(Outcomes!$O:$O,'Quant analysis'!$AG3,Outcomes!$Q:$Q,AN$1)</f>
        <v>0</v>
      </c>
      <c r="AO3" s="105">
        <f>COUNTIFS(Outcomes!$O:$O,'Quant analysis'!$AG3,Outcomes!$Q:$Q,AO$1)</f>
        <v>0</v>
      </c>
      <c r="AP3" s="105">
        <f>COUNTIFS(Outcomes!$O:$O,'Quant analysis'!$AG3,Outcomes!$Q:$Q,AP$1)</f>
        <v>0</v>
      </c>
      <c r="AQ3" s="105">
        <f>COUNTIFS(Outcomes!$O:$O,'Quant analysis'!$AG3,Outcomes!$Q:$Q,AQ$1)</f>
        <v>0</v>
      </c>
      <c r="AR3" s="130">
        <f t="shared" ref="AR3:AR14" si="1">SUM(AI3:AQ3)</f>
        <v>0</v>
      </c>
      <c r="AS3" s="130"/>
      <c r="AT3" s="129" t="s">
        <v>102</v>
      </c>
      <c r="AU3" s="129">
        <f>COUNTIF(Outcomes!P:P,'Quant analysis'!AT3)</f>
        <v>0</v>
      </c>
      <c r="AV3" s="19">
        <f>COUNTIFS(Outcomes!$P:$P,'Quant analysis'!$AT3,Outcomes!$Q:$Q,AV$1)</f>
        <v>0</v>
      </c>
      <c r="AW3" s="19">
        <f>COUNTIFS(Outcomes!$P:$P,'Quant analysis'!$AT3,Outcomes!$Q:$Q,AW$1)</f>
        <v>0</v>
      </c>
      <c r="AX3" s="19">
        <f>COUNTIFS(Outcomes!$P:$P,'Quant analysis'!$AT3,Outcomes!$Q:$Q,AX$1)</f>
        <v>0</v>
      </c>
      <c r="AY3" s="19">
        <f>COUNTIFS(Outcomes!$P:$P,'Quant analysis'!$AT3,Outcomes!$Q:$Q,AY$1)</f>
        <v>0</v>
      </c>
      <c r="AZ3" s="19">
        <f>COUNTIFS(Outcomes!$P:$P,'Quant analysis'!$AT3,Outcomes!$Q:$Q,AZ$1)</f>
        <v>0</v>
      </c>
      <c r="BA3" s="105">
        <f>COUNTIFS(Outcomes!$P:$P,'Quant analysis'!$AT3,Outcomes!$Q:$Q,BA$1)</f>
        <v>0</v>
      </c>
      <c r="BB3" s="105">
        <f>COUNTIFS(Outcomes!$P:$P,'Quant analysis'!$AT3,Outcomes!$Q:$Q,BB$1)</f>
        <v>0</v>
      </c>
      <c r="BC3" s="105">
        <f>COUNTIFS(Outcomes!$P:$P,'Quant analysis'!$AT3,Outcomes!$Q:$Q,BC$1)</f>
        <v>0</v>
      </c>
      <c r="BD3" s="105">
        <f>COUNTIFS(Outcomes!$P:$P,'Quant analysis'!$AT3,Outcomes!$Q:$Q,BD$1)</f>
        <v>0</v>
      </c>
      <c r="BE3" s="20">
        <f t="shared" ref="BE3:BE9" si="2">SUM(AV3:BD3)</f>
        <v>0</v>
      </c>
      <c r="BF3" s="130"/>
      <c r="BG3" s="129" t="s">
        <v>113</v>
      </c>
      <c r="BH3" s="129">
        <f>COUNTIF(Outcomes!S:S,'Quant analysis'!BG3)</f>
        <v>0</v>
      </c>
      <c r="BI3" s="19">
        <f>COUNTIFS(Outcomes!$S:$S,'Quant analysis'!$BG3,Outcomes!$Q:$Q,BI$1)</f>
        <v>0</v>
      </c>
      <c r="BJ3" s="19">
        <f>COUNTIFS(Outcomes!$S:$S,'Quant analysis'!$BG3,Outcomes!$Q:$Q,BJ$1)</f>
        <v>0</v>
      </c>
      <c r="BK3" s="19">
        <f>COUNTIFS(Outcomes!$S:$S,'Quant analysis'!$BG3,Outcomes!$Q:$Q,BK$1)</f>
        <v>0</v>
      </c>
      <c r="BL3" s="19">
        <f>COUNTIFS(Outcomes!$S:$S,'Quant analysis'!$BG3,Outcomes!$Q:$Q,BL$1)</f>
        <v>0</v>
      </c>
      <c r="BM3" s="19">
        <f>COUNTIFS(Outcomes!$S:$S,'Quant analysis'!$BG3,Outcomes!$Q:$Q,BM$1)</f>
        <v>0</v>
      </c>
      <c r="BN3" s="105">
        <f>COUNTIFS(Outcomes!$S:$S,'Quant analysis'!$BG3,Outcomes!$Q:$Q,BN$1)</f>
        <v>0</v>
      </c>
      <c r="BO3" s="105">
        <f>COUNTIFS(Outcomes!$S:$S,'Quant analysis'!$BG3,Outcomes!$Q:$Q,BO$1)</f>
        <v>0</v>
      </c>
      <c r="BP3" s="105">
        <f>COUNTIFS(Outcomes!$S:$S,'Quant analysis'!$BG3,Outcomes!$Q:$Q,BP$1)</f>
        <v>0</v>
      </c>
      <c r="BQ3" s="105">
        <f>COUNTIFS(Outcomes!$S:$S,'Quant analysis'!$BG3,Outcomes!$Q:$Q,BQ$1)</f>
        <v>0</v>
      </c>
      <c r="BR3" s="130">
        <f t="shared" ref="BR3:BR6" si="3">SUM(BI3:BQ3)</f>
        <v>0</v>
      </c>
      <c r="BS3" s="16"/>
      <c r="BT3" s="129" t="s">
        <v>239</v>
      </c>
      <c r="BU3" s="129" t="s">
        <v>189</v>
      </c>
      <c r="BV3" s="68">
        <f>COUNTIF(Outcomes!U:Y,'Quant analysis'!BU3)</f>
        <v>0</v>
      </c>
      <c r="BW3" s="19">
        <f>COUNTIFS(Outcomes!$U:$U,'Quant analysis'!$BU3,Outcomes!$Q:$Q,BW$1)+COUNTIFS(Outcomes!$V:$V,'Quant analysis'!$BU3,Outcomes!$Q:$Q,BW$1)+COUNTIFS(Outcomes!$W:$W,'Quant analysis'!$BU3,Outcomes!$Q:$Q,BW$1)+COUNTIFS(Outcomes!$X:$X,'Quant analysis'!$BU3,Outcomes!$Q:$Q,BW$1)+COUNTIFS(Outcomes!$Y:$Y,'Quant analysis'!$BU3,Outcomes!$Q:$Q,BW$1)</f>
        <v>0</v>
      </c>
      <c r="BX3" s="19">
        <f>COUNTIFS(Outcomes!$U:$U,'Quant analysis'!$BU3,Outcomes!$Q:$Q,BX$1)+COUNTIFS(Outcomes!$V:$V,'Quant analysis'!$BU3,Outcomes!$Q:$Q,BX$1)+COUNTIFS(Outcomes!$W:$W,'Quant analysis'!$BU3,Outcomes!$Q:$Q,BX$1)+COUNTIFS(Outcomes!$X:$X,'Quant analysis'!$BU3,Outcomes!$Q:$Q,BX$1)+COUNTIFS(Outcomes!$Y:$Y,'Quant analysis'!$BU3,Outcomes!$Q:$Q,BX$1)</f>
        <v>0</v>
      </c>
      <c r="BY3" s="19">
        <f>COUNTIFS(Outcomes!$U:$U,'Quant analysis'!$BU3,Outcomes!$Q:$Q,BY$1)+COUNTIFS(Outcomes!$V:$V,'Quant analysis'!$BU3,Outcomes!$Q:$Q,BY$1)+COUNTIFS(Outcomes!$W:$W,'Quant analysis'!$BU3,Outcomes!$Q:$Q,BY$1)+COUNTIFS(Outcomes!$X:$X,'Quant analysis'!$BU3,Outcomes!$Q:$Q,BY$1)+COUNTIFS(Outcomes!$Y:$Y,'Quant analysis'!$BU3,Outcomes!$Q:$Q,BY$1)</f>
        <v>0</v>
      </c>
      <c r="BZ3" s="19">
        <f>COUNTIFS(Outcomes!$U:$U,'Quant analysis'!$BU3,Outcomes!$Q:$Q,BZ$1)+COUNTIFS(Outcomes!$V:$V,'Quant analysis'!$BU3,Outcomes!$Q:$Q,BZ$1)+COUNTIFS(Outcomes!$W:$W,'Quant analysis'!$BU3,Outcomes!$Q:$Q,BZ$1)+COUNTIFS(Outcomes!$X:$X,'Quant analysis'!$BU3,Outcomes!$Q:$Q,BZ$1)+COUNTIFS(Outcomes!$Y:$Y,'Quant analysis'!$BU3,Outcomes!$Q:$Q,BZ$1)</f>
        <v>0</v>
      </c>
      <c r="CA3" s="19">
        <f>COUNTIFS(Outcomes!$U:$U,'Quant analysis'!$BU3,Outcomes!$Q:$Q,CA$1)+COUNTIFS(Outcomes!$V:$V,'Quant analysis'!$BU3,Outcomes!$Q:$Q,CA$1)+COUNTIFS(Outcomes!$W:$W,'Quant analysis'!$BU3,Outcomes!$Q:$Q,CA$1)+COUNTIFS(Outcomes!$X:$X,'Quant analysis'!$BU3,Outcomes!$Q:$Q,CA$1)+COUNTIFS(Outcomes!$Y:$Y,'Quant analysis'!$BU3,Outcomes!$Q:$Q,CA$1)</f>
        <v>0</v>
      </c>
      <c r="CB3" s="105">
        <f>COUNTIFS(Outcomes!$U:$U,'Quant analysis'!$BU3,Outcomes!$Q:$Q,CB$1)+COUNTIFS(Outcomes!$V:$V,'Quant analysis'!$BU3,Outcomes!$Q:$Q,CB$1)+COUNTIFS(Outcomes!$W:$W,'Quant analysis'!$BU3,Outcomes!$Q:$Q,CB$1)+COUNTIFS(Outcomes!$X:$X,'Quant analysis'!$BU3,Outcomes!$Q:$Q,CB$1)+COUNTIFS(Outcomes!$Y:$Y,'Quant analysis'!$BU3,Outcomes!$Q:$Q,CB$1)</f>
        <v>0</v>
      </c>
      <c r="CC3" s="105">
        <f>COUNTIFS(Outcomes!$U:$U,'Quant analysis'!$BU3,Outcomes!$Q:$Q,CC$1)+COUNTIFS(Outcomes!$V:$V,'Quant analysis'!$BU3,Outcomes!$Q:$Q,CC$1)+COUNTIFS(Outcomes!$W:$W,'Quant analysis'!$BU3,Outcomes!$Q:$Q,CC$1)+COUNTIFS(Outcomes!$X:$X,'Quant analysis'!$BU3,Outcomes!$Q:$Q,CC$1)+COUNTIFS(Outcomes!$Y:$Y,'Quant analysis'!$BU3,Outcomes!$Q:$Q,CC$1)</f>
        <v>0</v>
      </c>
      <c r="CD3" s="105">
        <f>COUNTIFS(Outcomes!$U:$U,'Quant analysis'!$BU3,Outcomes!$Q:$Q,CD$1)+COUNTIFS(Outcomes!$V:$V,'Quant analysis'!$BU3,Outcomes!$Q:$Q,CD$1)+COUNTIFS(Outcomes!$W:$W,'Quant analysis'!$BU3,Outcomes!$Q:$Q,CD$1)+COUNTIFS(Outcomes!$X:$X,'Quant analysis'!$BU3,Outcomes!$Q:$Q,CD$1)+COUNTIFS(Outcomes!$Y:$Y,'Quant analysis'!$BU3,Outcomes!$Q:$Q,CD$1)</f>
        <v>0</v>
      </c>
      <c r="CE3" s="105">
        <f>COUNTIFS(Outcomes!$U:$U,'Quant analysis'!$BU3,Outcomes!$Q:$Q,CE$1)+COUNTIFS(Outcomes!$V:$V,'Quant analysis'!$BU3,Outcomes!$Q:$Q,CE$1)+COUNTIFS(Outcomes!$W:$W,'Quant analysis'!$BU3,Outcomes!$Q:$Q,CE$1)+COUNTIFS(Outcomes!$X:$X,'Quant analysis'!$BU3,Outcomes!$Q:$Q,CE$1)+COUNTIFS(Outcomes!$Y:$Y,'Quant analysis'!$BU3,Outcomes!$Q:$Q,CE$1)</f>
        <v>0</v>
      </c>
      <c r="CF3" s="129">
        <f t="shared" ref="CF3:CF39" si="4">SUM(BW3:CE3)</f>
        <v>0</v>
      </c>
      <c r="CG3" s="130"/>
      <c r="CH3" s="129" t="s">
        <v>120</v>
      </c>
      <c r="CI3" s="129">
        <f>COUNTIF(Table1[Level of influence],'Quant analysis'!CH3)</f>
        <v>0</v>
      </c>
      <c r="CJ3" s="129">
        <f>COUNTIFS(Table1[Country/ Region/ Global],'Quant analysis'!CJ1,Table1[Level of influence],'Quant analysis'!CH3)</f>
        <v>0</v>
      </c>
      <c r="CK3" s="129">
        <f>COUNTIFS(Table1[Country/ Region/ Global],'Quant analysis'!CK1,Table1[Level of influence],'Quant analysis'!CH3)</f>
        <v>0</v>
      </c>
      <c r="CL3" s="129">
        <f>COUNTIFS(Table1[Country/ Region/ Global],'Quant analysis'!CL$1,Table1[Level of influence],'Quant analysis'!$CH3)</f>
        <v>0</v>
      </c>
      <c r="CM3" s="129">
        <f>COUNTIFS(Table1[Country/ Region/ Global],'Quant analysis'!CM$1,Table1[Level of influence],'Quant analysis'!$CH3)</f>
        <v>0</v>
      </c>
      <c r="CN3" s="129">
        <f>COUNTIFS(Table1[Country/ Region/ Global],'Quant analysis'!CN$1,Table1[Level of influence],'Quant analysis'!$CH3)</f>
        <v>0</v>
      </c>
      <c r="CO3" s="129">
        <f>COUNTIFS(Table1[Country/ Region/ Global],'Quant analysis'!CO$1,Table1[Level of influence],'Quant analysis'!$CH3)</f>
        <v>0</v>
      </c>
      <c r="CP3" s="129">
        <f>COUNTIFS(Table1[Country/ Region/ Global],'Quant analysis'!CP$1,Table1[Level of influence],'Quant analysis'!$CH3)</f>
        <v>0</v>
      </c>
      <c r="CQ3" s="129">
        <f>COUNTIFS(Table1[Country/ Region/ Global],'Quant analysis'!CQ$1,Table1[Level of influence],'Quant analysis'!$CH3)</f>
        <v>0</v>
      </c>
      <c r="CR3" s="129">
        <f>COUNTIFS(Table1[Country/ Region/ Global],'Quant analysis'!CR$1,Table1[Level of influence],'Quant analysis'!$CH3)</f>
        <v>0</v>
      </c>
      <c r="CS3" s="130">
        <f>SUM(CJ3:CR3)</f>
        <v>0</v>
      </c>
      <c r="CT3" s="130">
        <f>CO3+CP3+CQ3+CR3</f>
        <v>0</v>
      </c>
      <c r="CU3" s="130"/>
      <c r="CV3" s="131"/>
      <c r="CW3" s="129" t="s">
        <v>11</v>
      </c>
      <c r="CX3" s="129">
        <f>COUNTIFS(Table1[Level of influence],'Quant analysis'!CX1,Table1[The Six Conditions of Systems Change (WORK IN PROGRESS)],'Quant analysis'!CW3)</f>
        <v>0</v>
      </c>
      <c r="CY3" s="129">
        <f>COUNTIFS(Table1[Level of influence],'Quant analysis'!CY1,Table1[The Six Conditions of Systems Change (WORK IN PROGRESS)],'Quant analysis'!CW3)</f>
        <v>0</v>
      </c>
      <c r="CZ3" s="120">
        <f t="shared" ref="CZ3:CZ7" si="5">CX3+CY3</f>
        <v>0</v>
      </c>
      <c r="DA3" s="129">
        <f>COUNTIFS(Table1[Level of influence],'Quant analysis'!DA1,Table1[The Six Conditions of Systems Change (WORK IN PROGRESS)],'Quant analysis'!CW3)</f>
        <v>0</v>
      </c>
      <c r="DB3" s="129">
        <f>COUNTIFS(Table1[Level of influence],'Quant analysis'!DB1,Table1[The Six Conditions of Systems Change (WORK IN PROGRESS)],'Quant analysis'!CW3)</f>
        <v>0</v>
      </c>
      <c r="DC3" s="69">
        <f t="shared" ref="DC3:DC7" si="6">SUM(CZ3:DB3)</f>
        <v>0</v>
      </c>
      <c r="DD3" s="130"/>
      <c r="DE3" s="130"/>
      <c r="DF3" s="130"/>
      <c r="DG3" s="130"/>
      <c r="DH3" s="129" t="s">
        <v>239</v>
      </c>
      <c r="DI3" s="129" t="s">
        <v>189</v>
      </c>
      <c r="DJ3" s="68">
        <f t="shared" ref="DJ3:DJ39" si="7">SUM(DK3:DP3)</f>
        <v>0</v>
      </c>
      <c r="DK3" s="19">
        <f>COUNTIFS(Table1[Level of influence],"subnational",Table1[The Six Conditions of Systems Change (WORK IN PROGRESS)],"Policies",Table1[Output contribution 1],'Quant analysis'!DI3)+COUNTIFS(Table1[Level of influence],"subnational",Table1[The Six Conditions of Systems Change (WORK IN PROGRESS)],"Policies",Table1[Output contribution 2],'Quant analysis'!DI3)+COUNTIFS(Table1[Level of influence],"subnational",Table1[The Six Conditions of Systems Change (WORK IN PROGRESS)],"Policies",Table1[Output contribution 3],'Quant analysis'!DI3)+COUNTIFS(Table1[Level of influence],"subnational",Table1[The Six Conditions of Systems Change (WORK IN PROGRESS)],"Policies",Table1[Output contribution 4],'Quant analysis'!DI3)+COUNTIFS(Table1[Level of influence],"subnational",Table1[The Six Conditions of Systems Change (WORK IN PROGRESS)],"Policies",Table1[Output contribution 5],'Quant analysis'!DI3)+COUNTIFS(Table1[Level of influence],"national",Table1[The Six Conditions of Systems Change (WORK IN PROGRESS)],"Policies",Table1[Output contribution 1],'Quant analysis'!DI3)+COUNTIFS(Table1[Level of influence],"national",Table1[The Six Conditions of Systems Change (WORK IN PROGRESS)],"Policies",Table1[Output contribution 2],'Quant analysis'!DI3)+COUNTIFS(Table1[Level of influence],"national",Table1[The Six Conditions of Systems Change (WORK IN PROGRESS)],"Policies",Table1[Output contribution 3],'Quant analysis'!DI3)+COUNTIFS(Table1[Level of influence],"national",Table1[The Six Conditions of Systems Change (WORK IN PROGRESS)],"Policies",Table1[Output contribution 4],'Quant analysis'!DI3)+COUNTIFS(Table1[Level of influence],"national",Table1[The Six Conditions of Systems Change (WORK IN PROGRESS)],"Policies",Table1[Output contribution 5],'Quant analysis'!DI3)</f>
        <v>0</v>
      </c>
      <c r="DL3" s="19">
        <f>COUNTIFS(Table1[Level of influence],"subnational",Table1[The Six Conditions of Systems Change (WORK IN PROGRESS)],"Practices",Table1[Output contribution 1],'Quant analysis'!$DI3)+COUNTIFS(Table1[Level of influence],"subnational",Table1[The Six Conditions of Systems Change (WORK IN PROGRESS)],"Practices",Table1[Output contribution 2],'Quant analysis'!$DI3)+COUNTIFS(Table1[Level of influence],"subnational",Table1[The Six Conditions of Systems Change (WORK IN PROGRESS)],"Practices",Table1[Output contribution 3],'Quant analysis'!$DI3)+COUNTIFS(Table1[Level of influence],"subnational",Table1[The Six Conditions of Systems Change (WORK IN PROGRESS)],"Practices",Table1[Output contribution 4],'Quant analysis'!$DI3)+COUNTIFS(Table1[Level of influence],"subnational",Table1[The Six Conditions of Systems Change (WORK IN PROGRESS)],"Practices",Table1[Output contribution 5],'Quant analysis'!$DI3)+COUNTIFS(Table1[Level of influence],"national",Table1[The Six Conditions of Systems Change (WORK IN PROGRESS)],"Practices",Table1[Output contribution 1],'Quant analysis'!$DI3)+COUNTIFS(Table1[Level of influence],"national",Table1[The Six Conditions of Systems Change (WORK IN PROGRESS)],"Practices",Table1[Output contribution 2],'Quant analysis'!$DI3)+COUNTIFS(Table1[Level of influence],"national",Table1[The Six Conditions of Systems Change (WORK IN PROGRESS)],"Practices",Table1[Output contribution 3],'Quant analysis'!$DI3)+COUNTIFS(Table1[Level of influence],"national",Table1[The Six Conditions of Systems Change (WORK IN PROGRESS)],"Practices",Table1[Output contribution 4],'Quant analysis'!$DI3)+COUNTIFS(Table1[Level of influence],"national",Table1[The Six Conditions of Systems Change (WORK IN PROGRESS)],"Practices",Table1[Output contribution 5],'Quant analysis'!$DI3)</f>
        <v>0</v>
      </c>
      <c r="DM3" s="19">
        <f>COUNTIFS(Table1[Level of influence],"subnational",Table1[The Six Conditions of Systems Change (WORK IN PROGRESS)],DM$1,Table1[Output contribution 1],'Quant analysis'!$DI3)+COUNTIFS(Table1[Level of influence],"subnational",Table1[The Six Conditions of Systems Change (WORK IN PROGRESS)],DM$1,Table1[Output contribution 2],'Quant analysis'!$DI3)+COUNTIFS(Table1[Level of influence],"subnational",Table1[The Six Conditions of Systems Change (WORK IN PROGRESS)],DM$1,Table1[Output contribution 3],'Quant analysis'!$DI3)+COUNTIFS(Table1[Level of influence],"subnational",Table1[The Six Conditions of Systems Change (WORK IN PROGRESS)],DM$1,Table1[Output contribution 4],'Quant analysis'!$DI3)+COUNTIFS(Table1[Level of influence],"subnational",Table1[The Six Conditions of Systems Change (WORK IN PROGRESS)],DM$1,Table1[Output contribution 5],'Quant analysis'!$DI3)+COUNTIFS(Table1[Level of influence],"national",Table1[The Six Conditions of Systems Change (WORK IN PROGRESS)],DM$1,Table1[Output contribution 1],'Quant analysis'!$DI3)+COUNTIFS(Table1[Level of influence],"national",Table1[The Six Conditions of Systems Change (WORK IN PROGRESS)],DM$1,Table1[Output contribution 2],'Quant analysis'!$DI3)+COUNTIFS(Table1[Level of influence],"national",Table1[The Six Conditions of Systems Change (WORK IN PROGRESS)],DM$1,Table1[Output contribution 3],'Quant analysis'!$DI3)+COUNTIFS(Table1[Level of influence],"national",Table1[The Six Conditions of Systems Change (WORK IN PROGRESS)],DM$1,Table1[Output contribution 4],'Quant analysis'!$DI3)+COUNTIFS(Table1[Level of influence],"national",Table1[The Six Conditions of Systems Change (WORK IN PROGRESS)],DM$1,Table1[Output contribution 5],'Quant analysis'!$DI3)</f>
        <v>0</v>
      </c>
      <c r="DN3" s="19">
        <f>COUNTIFS(Table1[Level of influence],"subnational",Table1[The Six Conditions of Systems Change (WORK IN PROGRESS)],DN$1,Table1[Output contribution 1],'Quant analysis'!$DI3)+COUNTIFS(Table1[Level of influence],"subnational",Table1[The Six Conditions of Systems Change (WORK IN PROGRESS)],DN$1,Table1[Output contribution 2],'Quant analysis'!$DI3)+COUNTIFS(Table1[Level of influence],"subnational",Table1[The Six Conditions of Systems Change (WORK IN PROGRESS)],DN$1,Table1[Output contribution 3],'Quant analysis'!$DI3)+COUNTIFS(Table1[Level of influence],"subnational",Table1[The Six Conditions of Systems Change (WORK IN PROGRESS)],DN$1,Table1[Output contribution 4],'Quant analysis'!$DI3)+COUNTIFS(Table1[Level of influence],"subnational",Table1[The Six Conditions of Systems Change (WORK IN PROGRESS)],DN$1,Table1[Output contribution 5],'Quant analysis'!$DI3)+COUNTIFS(Table1[Level of influence],"national",Table1[The Six Conditions of Systems Change (WORK IN PROGRESS)],DN$1,Table1[Output contribution 1],'Quant analysis'!$DI3)+COUNTIFS(Table1[Level of influence],"national",Table1[The Six Conditions of Systems Change (WORK IN PROGRESS)],DN$1,Table1[Output contribution 2],'Quant analysis'!$DI3)+COUNTIFS(Table1[Level of influence],"national",Table1[The Six Conditions of Systems Change (WORK IN PROGRESS)],DN$1,Table1[Output contribution 3],'Quant analysis'!$DI3)+COUNTIFS(Table1[Level of influence],"national",Table1[The Six Conditions of Systems Change (WORK IN PROGRESS)],DN$1,Table1[Output contribution 4],'Quant analysis'!$DI3)+COUNTIFS(Table1[Level of influence],"national",Table1[The Six Conditions of Systems Change (WORK IN PROGRESS)],DN$1,Table1[Output contribution 5],'Quant analysis'!$DI3)</f>
        <v>0</v>
      </c>
      <c r="DO3" s="19">
        <f>COUNTIFS(Table1[Level of influence],"subnational",Table1[The Six Conditions of Systems Change (WORK IN PROGRESS)],DO$1,Table1[Output contribution 1],'Quant analysis'!$DI3)+COUNTIFS(Table1[Level of influence],"subnational",Table1[The Six Conditions of Systems Change (WORK IN PROGRESS)],DO$1,Table1[Output contribution 2],'Quant analysis'!$DI3)+COUNTIFS(Table1[Level of influence],"subnational",Table1[The Six Conditions of Systems Change (WORK IN PROGRESS)],DO$1,Table1[Output contribution 3],'Quant analysis'!$DI3)+COUNTIFS(Table1[Level of influence],"subnational",Table1[The Six Conditions of Systems Change (WORK IN PROGRESS)],DO$1,Table1[Output contribution 4],'Quant analysis'!$DI3)+COUNTIFS(Table1[Level of influence],"subnational",Table1[The Six Conditions of Systems Change (WORK IN PROGRESS)],DO$1,Table1[Output contribution 5],'Quant analysis'!$DI3)+COUNTIFS(Table1[Level of influence],"national",Table1[The Six Conditions of Systems Change (WORK IN PROGRESS)],DO$1,Table1[Output contribution 1],'Quant analysis'!$DI3)+COUNTIFS(Table1[Level of influence],"national",Table1[The Six Conditions of Systems Change (WORK IN PROGRESS)],DO$1,Table1[Output contribution 2],'Quant analysis'!$DI3)+COUNTIFS(Table1[Level of influence],"national",Table1[The Six Conditions of Systems Change (WORK IN PROGRESS)],DO$1,Table1[Output contribution 3],'Quant analysis'!$DI3)+COUNTIFS(Table1[Level of influence],"national",Table1[The Six Conditions of Systems Change (WORK IN PROGRESS)],DO$1,Table1[Output contribution 4],'Quant analysis'!$DI3)+COUNTIFS(Table1[Level of influence],"national",Table1[The Six Conditions of Systems Change (WORK IN PROGRESS)],DO$1,Table1[Output contribution 5],'Quant analysis'!$DI3)</f>
        <v>0</v>
      </c>
      <c r="DP3" s="19">
        <f>COUNTIFS(Table1[Level of influence],"subnational",Table1[The Six Conditions of Systems Change (WORK IN PROGRESS)],DP$1,Table1[Output contribution 1],'Quant analysis'!$DI3)+COUNTIFS(Table1[Level of influence],"subnational",Table1[The Six Conditions of Systems Change (WORK IN PROGRESS)],DP$1,Table1[Output contribution 2],'Quant analysis'!$DI3)+COUNTIFS(Table1[Level of influence],"subnational",Table1[The Six Conditions of Systems Change (WORK IN PROGRESS)],DP$1,Table1[Output contribution 3],'Quant analysis'!$DI3)+COUNTIFS(Table1[Level of influence],"subnational",Table1[The Six Conditions of Systems Change (WORK IN PROGRESS)],DP$1,Table1[Output contribution 4],'Quant analysis'!$DI3)+COUNTIFS(Table1[Level of influence],"subnational",Table1[The Six Conditions of Systems Change (WORK IN PROGRESS)],DP$1,Table1[Output contribution 5],'Quant analysis'!$DI3)+COUNTIFS(Table1[Level of influence],"national",Table1[The Six Conditions of Systems Change (WORK IN PROGRESS)],DP$1,Table1[Output contribution 1],'Quant analysis'!$DI3)+COUNTIFS(Table1[Level of influence],"national",Table1[The Six Conditions of Systems Change (WORK IN PROGRESS)],DP$1,Table1[Output contribution 2],'Quant analysis'!$DI3)+COUNTIFS(Table1[Level of influence],"national",Table1[The Six Conditions of Systems Change (WORK IN PROGRESS)],DP$1,Table1[Output contribution 3],'Quant analysis'!$DI3)+COUNTIFS(Table1[Level of influence],"national",Table1[The Six Conditions of Systems Change (WORK IN PROGRESS)],DP$1,Table1[Output contribution 4],'Quant analysis'!$DI3)+COUNTIFS(Table1[Level of influence],"national",Table1[The Six Conditions of Systems Change (WORK IN PROGRESS)],DP$1,Table1[Output contribution 5],'Quant analysis'!$DI3)</f>
        <v>0</v>
      </c>
      <c r="DQ3" s="130"/>
      <c r="DR3" s="130"/>
      <c r="DS3" s="157" t="s">
        <v>240</v>
      </c>
      <c r="DT3" s="129">
        <f>COUNTIFS(Table1[The Six Conditions of Systems Change (WORK IN PROGRESS)],'Quant analysis'!DT$1,Table1[Level of influence],"subnational",Table1['# of quarters between first contribution statement ],'Quant analysis'!$DS3)+COUNTIFS(Table1[The Six Conditions of Systems Change (WORK IN PROGRESS)],'Quant analysis'!DT$1,Table1[Level of influence],"national",Table1['# of quarters between first contribution statement ],'Quant analysis'!$DS3)</f>
        <v>0</v>
      </c>
      <c r="DU3" s="129">
        <f>COUNTIFS(Table1[The Six Conditions of Systems Change (WORK IN PROGRESS)],'Quant analysis'!DU$1,Table1[Level of influence],"subnational",Table1['# of quarters between first contribution statement ],'Quant analysis'!$DS3)+COUNTIFS(Table1[The Six Conditions of Systems Change (WORK IN PROGRESS)],'Quant analysis'!DU$1,Table1[Level of influence],"national",Table1['# of quarters between first contribution statement ],'Quant analysis'!$DS3)</f>
        <v>0</v>
      </c>
      <c r="DV3" s="129">
        <f>COUNTIFS(Table1[The Six Conditions of Systems Change (WORK IN PROGRESS)],'Quant analysis'!DV$1,Table1[Level of influence],"subnational",Table1['# of quarters between first contribution statement ],'Quant analysis'!$DS3)+COUNTIFS(Table1[The Six Conditions of Systems Change (WORK IN PROGRESS)],'Quant analysis'!DV$1,Table1[Level of influence],"national",Table1['# of quarters between first contribution statement ],'Quant analysis'!$DS3)</f>
        <v>0</v>
      </c>
      <c r="DW3" s="129">
        <f>COUNTIFS(Table1[The Six Conditions of Systems Change (WORK IN PROGRESS)],'Quant analysis'!DW$1,Table1[Level of influence],"subnational",Table1['# of quarters between first contribution statement ],'Quant analysis'!$DS3)+COUNTIFS(Table1[The Six Conditions of Systems Change (WORK IN PROGRESS)],'Quant analysis'!DW$1,Table1[Level of influence],"national",Table1['# of quarters between first contribution statement ],'Quant analysis'!$DS3)</f>
        <v>0</v>
      </c>
      <c r="DX3" s="129">
        <f>COUNTIFS(Table1[The Six Conditions of Systems Change (WORK IN PROGRESS)],'Quant analysis'!DX$1,Table1[Level of influence],"subnational",Table1['# of quarters between first contribution statement ],'Quant analysis'!$DS3)+COUNTIFS(Table1[The Six Conditions of Systems Change (WORK IN PROGRESS)],'Quant analysis'!DX$1,Table1[Level of influence],"national",Table1['# of quarters between first contribution statement ],'Quant analysis'!$DS3)</f>
        <v>0</v>
      </c>
      <c r="DY3" s="129">
        <f>COUNTIFS(Table1[The Six Conditions of Systems Change (WORK IN PROGRESS)],'Quant analysis'!DY$1,Table1[Level of influence],"subnational",Table1['# of quarters between first contribution statement ],'Quant analysis'!$DS3)+COUNTIFS(Table1[The Six Conditions of Systems Change (WORK IN PROGRESS)],'Quant analysis'!DY$1,Table1[Level of influence],"national",Table1['# of quarters between first contribution statement ],'Quant analysis'!$DS3)</f>
        <v>0</v>
      </c>
      <c r="DZ3" s="129"/>
      <c r="EA3" s="130"/>
      <c r="EB3" s="129" t="s">
        <v>11</v>
      </c>
      <c r="EC3" s="129">
        <f>COUNTIFS(Table1[Country/ Region/ Global],'Quant analysis'!$EC$1,Table1[The Six Conditions of Systems Change (WORK IN PROGRESS)],'Quant analysis'!EB3)</f>
        <v>0</v>
      </c>
      <c r="ED3" s="129"/>
      <c r="EE3" s="120"/>
      <c r="EF3" s="129"/>
      <c r="EG3" s="129"/>
      <c r="EH3" s="69"/>
      <c r="EI3" s="130"/>
      <c r="EJ3" s="130"/>
      <c r="EK3" s="130"/>
      <c r="EL3" s="130"/>
      <c r="EM3" s="129" t="s">
        <v>11</v>
      </c>
      <c r="EN3" s="129">
        <f>COUNTIFS(Table1[Country/ Region/ Global],'Quant analysis'!$EN$1,Table1[The Six Conditions of Systems Change (WORK IN PROGRESS)],'Quant analysis'!EM3)</f>
        <v>0</v>
      </c>
      <c r="EO3" s="129"/>
      <c r="EP3" s="120"/>
      <c r="EQ3" s="129"/>
      <c r="ER3" s="129"/>
      <c r="ES3" s="69"/>
      <c r="ET3" s="130"/>
      <c r="EU3" s="130"/>
      <c r="EV3" s="130"/>
      <c r="EW3" s="129" t="s">
        <v>11</v>
      </c>
      <c r="EX3" s="129">
        <f>COUNTIFS(Table1[Country/ Region/ Global],'Quant analysis'!$EX$1,Table1[The Six Conditions of Systems Change (WORK IN PROGRESS)],'Quant analysis'!EW3)</f>
        <v>0</v>
      </c>
      <c r="EY3" s="129"/>
      <c r="EZ3" s="120"/>
      <c r="FA3" s="129"/>
      <c r="FB3" s="129"/>
      <c r="FC3" s="69"/>
      <c r="FD3" s="130"/>
      <c r="FE3" s="130"/>
    </row>
    <row r="4" spans="1:161" x14ac:dyDescent="0.2">
      <c r="A4" s="129" t="s">
        <v>142</v>
      </c>
      <c r="B4" s="129">
        <f>COUNTIF(Outcomes!J:J,'Quant analysis'!A4)</f>
        <v>0</v>
      </c>
      <c r="C4" s="130"/>
      <c r="D4" s="129"/>
      <c r="E4" s="129"/>
      <c r="F4" s="19"/>
      <c r="G4" s="19"/>
      <c r="H4" s="19"/>
      <c r="I4" s="19"/>
      <c r="J4" s="19"/>
      <c r="K4" s="19"/>
      <c r="L4" s="19"/>
      <c r="M4" s="19"/>
      <c r="N4" s="19"/>
      <c r="O4" s="130"/>
      <c r="P4" s="130"/>
      <c r="Q4" s="130"/>
      <c r="R4" s="130"/>
      <c r="S4" s="130" t="s">
        <v>241</v>
      </c>
      <c r="T4" s="129" t="s">
        <v>117</v>
      </c>
      <c r="U4" s="129">
        <f>COUNTIF(Outcomes!$L:$L,'Quant analysis'!$T4)</f>
        <v>0</v>
      </c>
      <c r="V4" s="19">
        <f>COUNTIFS(Outcomes!$L:$L,'Quant analysis'!$T4,Outcomes!$Q:$Q,V$1)</f>
        <v>0</v>
      </c>
      <c r="W4" s="19">
        <f>COUNTIFS(Outcomes!$L:$L,'Quant analysis'!$T4,Outcomes!$Q:$Q,W$1)</f>
        <v>0</v>
      </c>
      <c r="X4" s="19">
        <f>COUNTIFS(Outcomes!$L:$L,'Quant analysis'!$T4,Outcomes!$Q:$Q,X$1)</f>
        <v>0</v>
      </c>
      <c r="Y4" s="19">
        <f>COUNTIFS(Outcomes!$L:$L,'Quant analysis'!$T4,Outcomes!$Q:$Q,Y$1)</f>
        <v>0</v>
      </c>
      <c r="Z4" s="19">
        <f>COUNTIFS(Outcomes!$L:$L,'Quant analysis'!$T4,Outcomes!$Q:$Q,Z$1)</f>
        <v>0</v>
      </c>
      <c r="AA4" s="105">
        <f>COUNTIFS(Outcomes!$L:$L,'Quant analysis'!$T4,Outcomes!$Q:$Q,AA$1)</f>
        <v>0</v>
      </c>
      <c r="AB4" s="105">
        <f>COUNTIFS(Outcomes!$L:$L,'Quant analysis'!$T4,Outcomes!$Q:$Q,AB$1)</f>
        <v>0</v>
      </c>
      <c r="AC4" s="105">
        <f>COUNTIFS(Outcomes!$L:$L,'Quant analysis'!$T4,Outcomes!$Q:$Q,AC$1)</f>
        <v>0</v>
      </c>
      <c r="AD4" s="105">
        <f>COUNTIFS(Outcomes!$L:$L,'Quant analysis'!$T4,Outcomes!$Q:$Q,AD$1)</f>
        <v>0</v>
      </c>
      <c r="AE4" s="130">
        <f t="shared" si="0"/>
        <v>0</v>
      </c>
      <c r="AF4" s="130"/>
      <c r="AG4" s="15" t="s">
        <v>136</v>
      </c>
      <c r="AH4" s="129">
        <f>COUNTIF(Outcomes!O:O,'Quant analysis'!AG4)</f>
        <v>0</v>
      </c>
      <c r="AI4" s="19">
        <f>COUNTIFS(Outcomes!$O:$O,'Quant analysis'!$AG4,Outcomes!$Q:$Q,AI$1)</f>
        <v>0</v>
      </c>
      <c r="AJ4" s="19">
        <f>COUNTIFS(Outcomes!$O:$O,'Quant analysis'!$AG4,Outcomes!$Q:$Q,AJ$1)</f>
        <v>0</v>
      </c>
      <c r="AK4" s="19">
        <f>COUNTIFS(Outcomes!$O:$O,'Quant analysis'!$AG4,Outcomes!$Q:$Q,AK$1)</f>
        <v>0</v>
      </c>
      <c r="AL4" s="19">
        <f>COUNTIFS(Outcomes!$O:$O,'Quant analysis'!$AG4,Outcomes!$Q:$Q,AL$1)</f>
        <v>0</v>
      </c>
      <c r="AM4" s="19">
        <f>COUNTIFS(Outcomes!$O:$O,'Quant analysis'!$AG4,Outcomes!$Q:$Q,AM$1)</f>
        <v>0</v>
      </c>
      <c r="AN4" s="105">
        <f>COUNTIFS(Outcomes!$O:$O,'Quant analysis'!$AG4,Outcomes!$Q:$Q,AN$1)</f>
        <v>0</v>
      </c>
      <c r="AO4" s="105">
        <f>COUNTIFS(Outcomes!$O:$O,'Quant analysis'!$AG4,Outcomes!$Q:$Q,AO$1)</f>
        <v>0</v>
      </c>
      <c r="AP4" s="105">
        <f>COUNTIFS(Outcomes!$O:$O,'Quant analysis'!$AG4,Outcomes!$Q:$Q,AP$1)</f>
        <v>0</v>
      </c>
      <c r="AQ4" s="105">
        <f>COUNTIFS(Outcomes!$O:$O,'Quant analysis'!$AG4,Outcomes!$Q:$Q,AQ$1)</f>
        <v>0</v>
      </c>
      <c r="AR4" s="130">
        <f t="shared" si="1"/>
        <v>0</v>
      </c>
      <c r="AS4" s="130"/>
      <c r="AT4" s="129" t="s">
        <v>125</v>
      </c>
      <c r="AU4" s="129">
        <f>COUNTIF(Outcomes!P:P,'Quant analysis'!AT4)</f>
        <v>0</v>
      </c>
      <c r="AV4" s="19">
        <f>COUNTIFS(Outcomes!$P:$P,'Quant analysis'!$AT4,Outcomes!$Q:$Q,AV$1)</f>
        <v>0</v>
      </c>
      <c r="AW4" s="19">
        <f>COUNTIFS(Outcomes!$P:$P,'Quant analysis'!$AT4,Outcomes!$Q:$Q,AW$1)</f>
        <v>0</v>
      </c>
      <c r="AX4" s="19">
        <f>COUNTIFS(Outcomes!$P:$P,'Quant analysis'!$AT4,Outcomes!$Q:$Q,AX$1)</f>
        <v>0</v>
      </c>
      <c r="AY4" s="19">
        <f>COUNTIFS(Outcomes!$P:$P,'Quant analysis'!$AT4,Outcomes!$Q:$Q,AY$1)</f>
        <v>0</v>
      </c>
      <c r="AZ4" s="19">
        <f>COUNTIFS(Outcomes!$P:$P,'Quant analysis'!$AT4,Outcomes!$Q:$Q,AZ$1)</f>
        <v>0</v>
      </c>
      <c r="BA4" s="105">
        <f>COUNTIFS(Outcomes!$P:$P,'Quant analysis'!$AT4,Outcomes!$Q:$Q,BA$1)</f>
        <v>0</v>
      </c>
      <c r="BB4" s="105">
        <f>COUNTIFS(Outcomes!$P:$P,'Quant analysis'!$AT4,Outcomes!$Q:$Q,BB$1)</f>
        <v>0</v>
      </c>
      <c r="BC4" s="105">
        <f>COUNTIFS(Outcomes!$P:$P,'Quant analysis'!$AT4,Outcomes!$Q:$Q,BC$1)</f>
        <v>0</v>
      </c>
      <c r="BD4" s="105">
        <f>COUNTIFS(Outcomes!$P:$P,'Quant analysis'!$AT4,Outcomes!$Q:$Q,BD$1)</f>
        <v>0</v>
      </c>
      <c r="BE4" s="20">
        <f t="shared" si="2"/>
        <v>0</v>
      </c>
      <c r="BF4" s="130"/>
      <c r="BG4" s="129" t="s">
        <v>94</v>
      </c>
      <c r="BH4" s="129">
        <f>COUNTIF(Outcomes!S:S,'Quant analysis'!BG4)</f>
        <v>0</v>
      </c>
      <c r="BI4" s="19">
        <f>COUNTIFS(Outcomes!$S:$S,'Quant analysis'!$BG4,Outcomes!$Q:$Q,BI$1)</f>
        <v>0</v>
      </c>
      <c r="BJ4" s="19">
        <f>COUNTIFS(Outcomes!$S:$S,'Quant analysis'!$BG4,Outcomes!$Q:$Q,BJ$1)</f>
        <v>0</v>
      </c>
      <c r="BK4" s="19">
        <f>COUNTIFS(Outcomes!$S:$S,'Quant analysis'!$BG4,Outcomes!$Q:$Q,BK$1)</f>
        <v>0</v>
      </c>
      <c r="BL4" s="19">
        <f>COUNTIFS(Outcomes!$S:$S,'Quant analysis'!$BG4,Outcomes!$Q:$Q,BL$1)</f>
        <v>0</v>
      </c>
      <c r="BM4" s="19">
        <f>COUNTIFS(Outcomes!$S:$S,'Quant analysis'!$BG4,Outcomes!$Q:$Q,BM$1)</f>
        <v>0</v>
      </c>
      <c r="BN4" s="105">
        <f>COUNTIFS(Outcomes!$S:$S,'Quant analysis'!$BG4,Outcomes!$Q:$Q,BN$1)</f>
        <v>0</v>
      </c>
      <c r="BO4" s="105">
        <f>COUNTIFS(Outcomes!$S:$S,'Quant analysis'!$BG4,Outcomes!$Q:$Q,BO$1)</f>
        <v>0</v>
      </c>
      <c r="BP4" s="105">
        <f>COUNTIFS(Outcomes!$S:$S,'Quant analysis'!$BG4,Outcomes!$Q:$Q,BP$1)</f>
        <v>0</v>
      </c>
      <c r="BQ4" s="105">
        <f>COUNTIFS(Outcomes!$S:$S,'Quant analysis'!$BG4,Outcomes!$Q:$Q,BQ$1)</f>
        <v>0</v>
      </c>
      <c r="BR4" s="130">
        <f t="shared" si="3"/>
        <v>0</v>
      </c>
      <c r="BS4" s="16"/>
      <c r="BT4" s="129" t="s">
        <v>242</v>
      </c>
      <c r="BU4" s="129" t="s">
        <v>115</v>
      </c>
      <c r="BV4" s="68">
        <f>COUNTIF(Outcomes!U:Y,'Quant analysis'!BU4)</f>
        <v>0</v>
      </c>
      <c r="BW4" s="19">
        <f>COUNTIFS(Outcomes!$U:$U,'Quant analysis'!$BU4,Outcomes!$Q:$Q,BW$1)+COUNTIFS(Outcomes!$V:$V,'Quant analysis'!$BU4,Outcomes!$Q:$Q,BW$1)+COUNTIFS(Outcomes!$W:$W,'Quant analysis'!$BU4,Outcomes!$Q:$Q,BW$1)+COUNTIFS(Outcomes!$X:$X,'Quant analysis'!$BU4,Outcomes!$Q:$Q,BW$1)+COUNTIFS(Outcomes!$Y:$Y,'Quant analysis'!$BU4,Outcomes!$Q:$Q,BW$1)</f>
        <v>0</v>
      </c>
      <c r="BX4" s="19">
        <f>COUNTIFS(Outcomes!$U:$U,'Quant analysis'!$BU4,Outcomes!$Q:$Q,BX$1)+COUNTIFS(Outcomes!$V:$V,'Quant analysis'!$BU4,Outcomes!$Q:$Q,BX$1)+COUNTIFS(Outcomes!$W:$W,'Quant analysis'!$BU4,Outcomes!$Q:$Q,BX$1)+COUNTIFS(Outcomes!$X:$X,'Quant analysis'!$BU4,Outcomes!$Q:$Q,BX$1)+COUNTIFS(Outcomes!$Y:$Y,'Quant analysis'!$BU4,Outcomes!$Q:$Q,BX$1)</f>
        <v>0</v>
      </c>
      <c r="BY4" s="19">
        <f>COUNTIFS(Outcomes!$U:$U,'Quant analysis'!$BU4,Outcomes!$Q:$Q,BY$1)+COUNTIFS(Outcomes!$V:$V,'Quant analysis'!$BU4,Outcomes!$Q:$Q,BY$1)+COUNTIFS(Outcomes!$W:$W,'Quant analysis'!$BU4,Outcomes!$Q:$Q,BY$1)+COUNTIFS(Outcomes!$X:$X,'Quant analysis'!$BU4,Outcomes!$Q:$Q,BY$1)+COUNTIFS(Outcomes!$Y:$Y,'Quant analysis'!$BU4,Outcomes!$Q:$Q,BY$1)</f>
        <v>0</v>
      </c>
      <c r="BZ4" s="19">
        <f>COUNTIFS(Outcomes!$U:$U,'Quant analysis'!$BU4,Outcomes!$Q:$Q,BZ$1)+COUNTIFS(Outcomes!$V:$V,'Quant analysis'!$BU4,Outcomes!$Q:$Q,BZ$1)+COUNTIFS(Outcomes!$W:$W,'Quant analysis'!$BU4,Outcomes!$Q:$Q,BZ$1)+COUNTIFS(Outcomes!$X:$X,'Quant analysis'!$BU4,Outcomes!$Q:$Q,BZ$1)+COUNTIFS(Outcomes!$Y:$Y,'Quant analysis'!$BU4,Outcomes!$Q:$Q,BZ$1)</f>
        <v>0</v>
      </c>
      <c r="CA4" s="19">
        <f>COUNTIFS(Outcomes!$U:$U,'Quant analysis'!$BU4,Outcomes!$Q:$Q,CA$1)+COUNTIFS(Outcomes!$V:$V,'Quant analysis'!$BU4,Outcomes!$Q:$Q,CA$1)+COUNTIFS(Outcomes!$W:$W,'Quant analysis'!$BU4,Outcomes!$Q:$Q,CA$1)+COUNTIFS(Outcomes!$X:$X,'Quant analysis'!$BU4,Outcomes!$Q:$Q,CA$1)+COUNTIFS(Outcomes!$Y:$Y,'Quant analysis'!$BU4,Outcomes!$Q:$Q,CA$1)</f>
        <v>0</v>
      </c>
      <c r="CB4" s="105">
        <f>COUNTIFS(Outcomes!$U:$U,'Quant analysis'!$BU4,Outcomes!$Q:$Q,CB$1)+COUNTIFS(Outcomes!$V:$V,'Quant analysis'!$BU4,Outcomes!$Q:$Q,CB$1)+COUNTIFS(Outcomes!$W:$W,'Quant analysis'!$BU4,Outcomes!$Q:$Q,CB$1)+COUNTIFS(Outcomes!$X:$X,'Quant analysis'!$BU4,Outcomes!$Q:$Q,CB$1)+COUNTIFS(Outcomes!$Y:$Y,'Quant analysis'!$BU4,Outcomes!$Q:$Q,CB$1)</f>
        <v>0</v>
      </c>
      <c r="CC4" s="105">
        <f>COUNTIFS(Outcomes!$U:$U,'Quant analysis'!$BU4,Outcomes!$Q:$Q,CC$1)+COUNTIFS(Outcomes!$V:$V,'Quant analysis'!$BU4,Outcomes!$Q:$Q,CC$1)+COUNTIFS(Outcomes!$W:$W,'Quant analysis'!$BU4,Outcomes!$Q:$Q,CC$1)+COUNTIFS(Outcomes!$X:$X,'Quant analysis'!$BU4,Outcomes!$Q:$Q,CC$1)+COUNTIFS(Outcomes!$Y:$Y,'Quant analysis'!$BU4,Outcomes!$Q:$Q,CC$1)</f>
        <v>0</v>
      </c>
      <c r="CD4" s="105">
        <f>COUNTIFS(Outcomes!$U:$U,'Quant analysis'!$BU4,Outcomes!$Q:$Q,CD$1)+COUNTIFS(Outcomes!$V:$V,'Quant analysis'!$BU4,Outcomes!$Q:$Q,CD$1)+COUNTIFS(Outcomes!$W:$W,'Quant analysis'!$BU4,Outcomes!$Q:$Q,CD$1)+COUNTIFS(Outcomes!$X:$X,'Quant analysis'!$BU4,Outcomes!$Q:$Q,CD$1)+COUNTIFS(Outcomes!$Y:$Y,'Quant analysis'!$BU4,Outcomes!$Q:$Q,CD$1)</f>
        <v>0</v>
      </c>
      <c r="CE4" s="105">
        <f>COUNTIFS(Outcomes!$U:$U,'Quant analysis'!$BU4,Outcomes!$Q:$Q,CE$1)+COUNTIFS(Outcomes!$V:$V,'Quant analysis'!$BU4,Outcomes!$Q:$Q,CE$1)+COUNTIFS(Outcomes!$W:$W,'Quant analysis'!$BU4,Outcomes!$Q:$Q,CE$1)+COUNTIFS(Outcomes!$X:$X,'Quant analysis'!$BU4,Outcomes!$Q:$Q,CE$1)+COUNTIFS(Outcomes!$Y:$Y,'Quant analysis'!$BU4,Outcomes!$Q:$Q,CE$1)</f>
        <v>0</v>
      </c>
      <c r="CF4" s="129">
        <f t="shared" si="4"/>
        <v>0</v>
      </c>
      <c r="CG4" s="130"/>
      <c r="CH4" s="129" t="s">
        <v>101</v>
      </c>
      <c r="CI4" s="129">
        <f>COUNTIF(Table1[Level of influence],'Quant analysis'!CH4)</f>
        <v>0</v>
      </c>
      <c r="CJ4" s="129">
        <f>COUNTIFS(Table1[Country/ Region/ Global],'Quant analysis'!CJ1,Table1[Level of influence],'Quant analysis'!CH4)</f>
        <v>0</v>
      </c>
      <c r="CK4" s="129">
        <f>COUNTIFS(Table1[Country/ Region/ Global],'Quant analysis'!CK1,Table1[Level of influence],'Quant analysis'!CH4)</f>
        <v>0</v>
      </c>
      <c r="CL4" s="129">
        <f>COUNTIFS(Table1[Country/ Region/ Global],'Quant analysis'!CL$1,Table1[Level of influence],'Quant analysis'!$CH4)</f>
        <v>0</v>
      </c>
      <c r="CM4" s="129">
        <f>COUNTIFS(Table1[Country/ Region/ Global],'Quant analysis'!CM$1,Table1[Level of influence],'Quant analysis'!$CH4)</f>
        <v>0</v>
      </c>
      <c r="CN4" s="129">
        <f>COUNTIFS(Table1[Country/ Region/ Global],'Quant analysis'!CN$1,Table1[Level of influence],'Quant analysis'!$CH4)</f>
        <v>0</v>
      </c>
      <c r="CO4" s="129">
        <f>COUNTIFS(Table1[Country/ Region/ Global],'Quant analysis'!CO$1,Table1[Level of influence],'Quant analysis'!$CH4)</f>
        <v>0</v>
      </c>
      <c r="CP4" s="129">
        <f>COUNTIFS(Table1[Country/ Region/ Global],'Quant analysis'!CP$1,Table1[Level of influence],'Quant analysis'!$CH4)</f>
        <v>0</v>
      </c>
      <c r="CQ4" s="129">
        <f>COUNTIFS(Table1[Country/ Region/ Global],'Quant analysis'!CQ$1,Table1[Level of influence],'Quant analysis'!$CH4)</f>
        <v>0</v>
      </c>
      <c r="CR4" s="129">
        <f>COUNTIFS(Table1[Country/ Region/ Global],'Quant analysis'!CR$1,Table1[Level of influence],'Quant analysis'!$CH4)</f>
        <v>0</v>
      </c>
      <c r="CS4" s="130">
        <f>SUM(CJ4:CR4)</f>
        <v>0</v>
      </c>
      <c r="CT4" s="130">
        <f>CO4+CP4+CQ4+CR4</f>
        <v>0</v>
      </c>
      <c r="CU4" s="130"/>
      <c r="CV4" s="131"/>
      <c r="CW4" s="129" t="s">
        <v>13</v>
      </c>
      <c r="CX4" s="129">
        <f>COUNTIFS(Table1[Level of influence],'Quant analysis'!CX1,Table1[The Six Conditions of Systems Change (WORK IN PROGRESS)],'Quant analysis'!CW4)</f>
        <v>0</v>
      </c>
      <c r="CY4" s="129">
        <f>COUNTIFS(Table1[Level of influence],'Quant analysis'!CY1,Table1[The Six Conditions of Systems Change (WORK IN PROGRESS)],'Quant analysis'!CW4)</f>
        <v>0</v>
      </c>
      <c r="CZ4" s="120">
        <f t="shared" si="5"/>
        <v>0</v>
      </c>
      <c r="DA4" s="129">
        <f>COUNTIFS(Table1[Level of influence],'Quant analysis'!DA1,Table1[The Six Conditions of Systems Change (WORK IN PROGRESS)],'Quant analysis'!CW4)</f>
        <v>0</v>
      </c>
      <c r="DB4" s="129">
        <f>COUNTIFS(Table1[Level of influence],'Quant analysis'!DB1,Table1[The Six Conditions of Systems Change (WORK IN PROGRESS)],'Quant analysis'!CW4)</f>
        <v>0</v>
      </c>
      <c r="DC4" s="69">
        <f t="shared" si="6"/>
        <v>0</v>
      </c>
      <c r="DD4" s="130"/>
      <c r="DE4" s="130"/>
      <c r="DF4" s="130"/>
      <c r="DG4" s="130"/>
      <c r="DH4" s="129" t="s">
        <v>242</v>
      </c>
      <c r="DI4" s="129" t="s">
        <v>115</v>
      </c>
      <c r="DJ4" s="68">
        <f t="shared" si="7"/>
        <v>0</v>
      </c>
      <c r="DK4" s="19">
        <f>COUNTIFS(Table1[Level of influence],"subnational",Table1[The Six Conditions of Systems Change (WORK IN PROGRESS)],"Policies",Table1[Output contribution 1],'Quant analysis'!DI4)+COUNTIFS(Table1[Level of influence],"subnational",Table1[The Six Conditions of Systems Change (WORK IN PROGRESS)],"Policies",Table1[Output contribution 2],'Quant analysis'!DI4)+COUNTIFS(Table1[Level of influence],"subnational",Table1[The Six Conditions of Systems Change (WORK IN PROGRESS)],"Policies",Table1[Output contribution 3],'Quant analysis'!DI4)+COUNTIFS(Table1[Level of influence],"subnational",Table1[The Six Conditions of Systems Change (WORK IN PROGRESS)],"Policies",Table1[Output contribution 4],'Quant analysis'!DI4)+COUNTIFS(Table1[Level of influence],"subnational",Table1[The Six Conditions of Systems Change (WORK IN PROGRESS)],"Policies",Table1[Output contribution 5],'Quant analysis'!DI4)+COUNTIFS(Table1[Level of influence],"national",Table1[The Six Conditions of Systems Change (WORK IN PROGRESS)],"Policies",Table1[Output contribution 1],'Quant analysis'!DI4)+COUNTIFS(Table1[Level of influence],"national",Table1[The Six Conditions of Systems Change (WORK IN PROGRESS)],"Policies",Table1[Output contribution 2],'Quant analysis'!DI4)+COUNTIFS(Table1[Level of influence],"national",Table1[The Six Conditions of Systems Change (WORK IN PROGRESS)],"Policies",Table1[Output contribution 3],'Quant analysis'!DI4)+COUNTIFS(Table1[Level of influence],"national",Table1[The Six Conditions of Systems Change (WORK IN PROGRESS)],"Policies",Table1[Output contribution 4],'Quant analysis'!DI4)+COUNTIFS(Table1[Level of influence],"national",Table1[The Six Conditions of Systems Change (WORK IN PROGRESS)],"Policies",Table1[Output contribution 5],'Quant analysis'!DI4)</f>
        <v>0</v>
      </c>
      <c r="DL4" s="19">
        <f>COUNTIFS(Table1[Level of influence],"subnational",Table1[The Six Conditions of Systems Change (WORK IN PROGRESS)],"Practices",Table1[Output contribution 1],'Quant analysis'!$DI4)+COUNTIFS(Table1[Level of influence],"subnational",Table1[The Six Conditions of Systems Change (WORK IN PROGRESS)],"Practices",Table1[Output contribution 2],'Quant analysis'!$DI4)+COUNTIFS(Table1[Level of influence],"subnational",Table1[The Six Conditions of Systems Change (WORK IN PROGRESS)],"Practices",Table1[Output contribution 3],'Quant analysis'!$DI4)+COUNTIFS(Table1[Level of influence],"subnational",Table1[The Six Conditions of Systems Change (WORK IN PROGRESS)],"Practices",Table1[Output contribution 4],'Quant analysis'!$DI4)+COUNTIFS(Table1[Level of influence],"subnational",Table1[The Six Conditions of Systems Change (WORK IN PROGRESS)],"Practices",Table1[Output contribution 5],'Quant analysis'!$DI4)+COUNTIFS(Table1[Level of influence],"national",Table1[The Six Conditions of Systems Change (WORK IN PROGRESS)],"Practices",Table1[Output contribution 1],'Quant analysis'!$DI4)+COUNTIFS(Table1[Level of influence],"national",Table1[The Six Conditions of Systems Change (WORK IN PROGRESS)],"Practices",Table1[Output contribution 2],'Quant analysis'!$DI4)+COUNTIFS(Table1[Level of influence],"national",Table1[The Six Conditions of Systems Change (WORK IN PROGRESS)],"Practices",Table1[Output contribution 3],'Quant analysis'!$DI4)+COUNTIFS(Table1[Level of influence],"national",Table1[The Six Conditions of Systems Change (WORK IN PROGRESS)],"Practices",Table1[Output contribution 4],'Quant analysis'!$DI4)+COUNTIFS(Table1[Level of influence],"national",Table1[The Six Conditions of Systems Change (WORK IN PROGRESS)],"Practices",Table1[Output contribution 5],'Quant analysis'!$DI4)</f>
        <v>0</v>
      </c>
      <c r="DM4" s="19">
        <f>COUNTIFS(Table1[Level of influence],"subnational",Table1[The Six Conditions of Systems Change (WORK IN PROGRESS)],DM$1,Table1[Output contribution 1],'Quant analysis'!$DI4)+COUNTIFS(Table1[Level of influence],"subnational",Table1[The Six Conditions of Systems Change (WORK IN PROGRESS)],DM$1,Table1[Output contribution 2],'Quant analysis'!$DI4)+COUNTIFS(Table1[Level of influence],"subnational",Table1[The Six Conditions of Systems Change (WORK IN PROGRESS)],DM$1,Table1[Output contribution 3],'Quant analysis'!$DI4)+COUNTIFS(Table1[Level of influence],"subnational",Table1[The Six Conditions of Systems Change (WORK IN PROGRESS)],DM$1,Table1[Output contribution 4],'Quant analysis'!$DI4)+COUNTIFS(Table1[Level of influence],"subnational",Table1[The Six Conditions of Systems Change (WORK IN PROGRESS)],DM$1,Table1[Output contribution 5],'Quant analysis'!$DI4)+COUNTIFS(Table1[Level of influence],"national",Table1[The Six Conditions of Systems Change (WORK IN PROGRESS)],DM$1,Table1[Output contribution 1],'Quant analysis'!$DI4)+COUNTIFS(Table1[Level of influence],"national",Table1[The Six Conditions of Systems Change (WORK IN PROGRESS)],DM$1,Table1[Output contribution 2],'Quant analysis'!$DI4)+COUNTIFS(Table1[Level of influence],"national",Table1[The Six Conditions of Systems Change (WORK IN PROGRESS)],DM$1,Table1[Output contribution 3],'Quant analysis'!$DI4)+COUNTIFS(Table1[Level of influence],"national",Table1[The Six Conditions of Systems Change (WORK IN PROGRESS)],DM$1,Table1[Output contribution 4],'Quant analysis'!$DI4)+COUNTIFS(Table1[Level of influence],"national",Table1[The Six Conditions of Systems Change (WORK IN PROGRESS)],DM$1,Table1[Output contribution 5],'Quant analysis'!$DI4)</f>
        <v>0</v>
      </c>
      <c r="DN4" s="19">
        <f>COUNTIFS(Table1[Level of influence],"subnational",Table1[The Six Conditions of Systems Change (WORK IN PROGRESS)],DN$1,Table1[Output contribution 1],'Quant analysis'!$DI4)+COUNTIFS(Table1[Level of influence],"subnational",Table1[The Six Conditions of Systems Change (WORK IN PROGRESS)],DN$1,Table1[Output contribution 2],'Quant analysis'!$DI4)+COUNTIFS(Table1[Level of influence],"subnational",Table1[The Six Conditions of Systems Change (WORK IN PROGRESS)],DN$1,Table1[Output contribution 3],'Quant analysis'!$DI4)+COUNTIFS(Table1[Level of influence],"subnational",Table1[The Six Conditions of Systems Change (WORK IN PROGRESS)],DN$1,Table1[Output contribution 4],'Quant analysis'!$DI4)+COUNTIFS(Table1[Level of influence],"subnational",Table1[The Six Conditions of Systems Change (WORK IN PROGRESS)],DN$1,Table1[Output contribution 5],'Quant analysis'!$DI4)+COUNTIFS(Table1[Level of influence],"national",Table1[The Six Conditions of Systems Change (WORK IN PROGRESS)],DN$1,Table1[Output contribution 1],'Quant analysis'!$DI4)+COUNTIFS(Table1[Level of influence],"national",Table1[The Six Conditions of Systems Change (WORK IN PROGRESS)],DN$1,Table1[Output contribution 2],'Quant analysis'!$DI4)+COUNTIFS(Table1[Level of influence],"national",Table1[The Six Conditions of Systems Change (WORK IN PROGRESS)],DN$1,Table1[Output contribution 3],'Quant analysis'!$DI4)+COUNTIFS(Table1[Level of influence],"national",Table1[The Six Conditions of Systems Change (WORK IN PROGRESS)],DN$1,Table1[Output contribution 4],'Quant analysis'!$DI4)+COUNTIFS(Table1[Level of influence],"national",Table1[The Six Conditions of Systems Change (WORK IN PROGRESS)],DN$1,Table1[Output contribution 5],'Quant analysis'!$DI4)</f>
        <v>0</v>
      </c>
      <c r="DO4" s="19">
        <f>COUNTIFS(Table1[Level of influence],"subnational",Table1[The Six Conditions of Systems Change (WORK IN PROGRESS)],DO$1,Table1[Output contribution 1],'Quant analysis'!$DI4)+COUNTIFS(Table1[Level of influence],"subnational",Table1[The Six Conditions of Systems Change (WORK IN PROGRESS)],DO$1,Table1[Output contribution 2],'Quant analysis'!$DI4)+COUNTIFS(Table1[Level of influence],"subnational",Table1[The Six Conditions of Systems Change (WORK IN PROGRESS)],DO$1,Table1[Output contribution 3],'Quant analysis'!$DI4)+COUNTIFS(Table1[Level of influence],"subnational",Table1[The Six Conditions of Systems Change (WORK IN PROGRESS)],DO$1,Table1[Output contribution 4],'Quant analysis'!$DI4)+COUNTIFS(Table1[Level of influence],"subnational",Table1[The Six Conditions of Systems Change (WORK IN PROGRESS)],DO$1,Table1[Output contribution 5],'Quant analysis'!$DI4)+COUNTIFS(Table1[Level of influence],"national",Table1[The Six Conditions of Systems Change (WORK IN PROGRESS)],DO$1,Table1[Output contribution 1],'Quant analysis'!$DI4)+COUNTIFS(Table1[Level of influence],"national",Table1[The Six Conditions of Systems Change (WORK IN PROGRESS)],DO$1,Table1[Output contribution 2],'Quant analysis'!$DI4)+COUNTIFS(Table1[Level of influence],"national",Table1[The Six Conditions of Systems Change (WORK IN PROGRESS)],DO$1,Table1[Output contribution 3],'Quant analysis'!$DI4)+COUNTIFS(Table1[Level of influence],"national",Table1[The Six Conditions of Systems Change (WORK IN PROGRESS)],DO$1,Table1[Output contribution 4],'Quant analysis'!$DI4)+COUNTIFS(Table1[Level of influence],"national",Table1[The Six Conditions of Systems Change (WORK IN PROGRESS)],DO$1,Table1[Output contribution 5],'Quant analysis'!$DI4)</f>
        <v>0</v>
      </c>
      <c r="DP4" s="19">
        <f>COUNTIFS(Table1[Level of influence],"subnational",Table1[The Six Conditions of Systems Change (WORK IN PROGRESS)],DP$1,Table1[Output contribution 1],'Quant analysis'!$DI4)+COUNTIFS(Table1[Level of influence],"subnational",Table1[The Six Conditions of Systems Change (WORK IN PROGRESS)],DP$1,Table1[Output contribution 2],'Quant analysis'!$DI4)+COUNTIFS(Table1[Level of influence],"subnational",Table1[The Six Conditions of Systems Change (WORK IN PROGRESS)],DP$1,Table1[Output contribution 3],'Quant analysis'!$DI4)+COUNTIFS(Table1[Level of influence],"subnational",Table1[The Six Conditions of Systems Change (WORK IN PROGRESS)],DP$1,Table1[Output contribution 4],'Quant analysis'!$DI4)+COUNTIFS(Table1[Level of influence],"subnational",Table1[The Six Conditions of Systems Change (WORK IN PROGRESS)],DP$1,Table1[Output contribution 5],'Quant analysis'!$DI4)+COUNTIFS(Table1[Level of influence],"national",Table1[The Six Conditions of Systems Change (WORK IN PROGRESS)],DP$1,Table1[Output contribution 1],'Quant analysis'!$DI4)+COUNTIFS(Table1[Level of influence],"national",Table1[The Six Conditions of Systems Change (WORK IN PROGRESS)],DP$1,Table1[Output contribution 2],'Quant analysis'!$DI4)+COUNTIFS(Table1[Level of influence],"national",Table1[The Six Conditions of Systems Change (WORK IN PROGRESS)],DP$1,Table1[Output contribution 3],'Quant analysis'!$DI4)+COUNTIFS(Table1[Level of influence],"national",Table1[The Six Conditions of Systems Change (WORK IN PROGRESS)],DP$1,Table1[Output contribution 4],'Quant analysis'!$DI4)+COUNTIFS(Table1[Level of influence],"national",Table1[The Six Conditions of Systems Change (WORK IN PROGRESS)],DP$1,Table1[Output contribution 5],'Quant analysis'!$DI4)</f>
        <v>0</v>
      </c>
      <c r="DQ4" s="130"/>
      <c r="DR4" s="130"/>
      <c r="DS4" s="157" t="s">
        <v>243</v>
      </c>
      <c r="DT4" s="129">
        <f>COUNTIFS(Table1[The Six Conditions of Systems Change (WORK IN PROGRESS)],'Quant analysis'!DT$1,Table1[Level of influence],"subnational",Table1['# of quarters between first contribution statement ],'Quant analysis'!$DS4)+COUNTIFS(Table1[The Six Conditions of Systems Change (WORK IN PROGRESS)],'Quant analysis'!DT$1,Table1[Level of influence],"national",Table1['# of quarters between first contribution statement ],'Quant analysis'!$DS4)</f>
        <v>0</v>
      </c>
      <c r="DU4" s="129">
        <f>COUNTIFS(Table1[The Six Conditions of Systems Change (WORK IN PROGRESS)],'Quant analysis'!DU$1,Table1[Level of influence],"subnational",Table1['# of quarters between first contribution statement ],'Quant analysis'!$DS4)+COUNTIFS(Table1[The Six Conditions of Systems Change (WORK IN PROGRESS)],'Quant analysis'!DU$1,Table1[Level of influence],"national",Table1['# of quarters between first contribution statement ],'Quant analysis'!$DS4)</f>
        <v>0</v>
      </c>
      <c r="DV4" s="129">
        <f>COUNTIFS(Table1[The Six Conditions of Systems Change (WORK IN PROGRESS)],'Quant analysis'!DV$1,Table1[Level of influence],"subnational",Table1['# of quarters between first contribution statement ],'Quant analysis'!$DS4)+COUNTIFS(Table1[The Six Conditions of Systems Change (WORK IN PROGRESS)],'Quant analysis'!DV$1,Table1[Level of influence],"national",Table1['# of quarters between first contribution statement ],'Quant analysis'!$DS4)</f>
        <v>0</v>
      </c>
      <c r="DW4" s="129">
        <f>COUNTIFS(Table1[The Six Conditions of Systems Change (WORK IN PROGRESS)],'Quant analysis'!DW$1,Table1[Level of influence],"subnational",Table1['# of quarters between first contribution statement ],'Quant analysis'!$DS4)+COUNTIFS(Table1[The Six Conditions of Systems Change (WORK IN PROGRESS)],'Quant analysis'!DW$1,Table1[Level of influence],"national",Table1['# of quarters between first contribution statement ],'Quant analysis'!$DS4)</f>
        <v>0</v>
      </c>
      <c r="DX4" s="129">
        <f>COUNTIFS(Table1[The Six Conditions of Systems Change (WORK IN PROGRESS)],'Quant analysis'!DX$1,Table1[Level of influence],"subnational",Table1['# of quarters between first contribution statement ],'Quant analysis'!$DS4)+COUNTIFS(Table1[The Six Conditions of Systems Change (WORK IN PROGRESS)],'Quant analysis'!DX$1,Table1[Level of influence],"national",Table1['# of quarters between first contribution statement ],'Quant analysis'!$DS4)</f>
        <v>0</v>
      </c>
      <c r="DY4" s="129">
        <f>COUNTIFS(Table1[The Six Conditions of Systems Change (WORK IN PROGRESS)],'Quant analysis'!DY$1,Table1[Level of influence],"subnational",Table1['# of quarters between first contribution statement ],'Quant analysis'!$DS4)+COUNTIFS(Table1[The Six Conditions of Systems Change (WORK IN PROGRESS)],'Quant analysis'!DY$1,Table1[Level of influence],"national",Table1['# of quarters between first contribution statement ],'Quant analysis'!$DS4)</f>
        <v>0</v>
      </c>
      <c r="DZ4" s="129"/>
      <c r="EA4" s="130"/>
      <c r="EB4" s="129" t="s">
        <v>13</v>
      </c>
      <c r="EC4" s="129">
        <f>COUNTIFS(Table1[Country/ Region/ Global],'Quant analysis'!$EC$1,Table1[The Six Conditions of Systems Change (WORK IN PROGRESS)],'Quant analysis'!EB4)</f>
        <v>0</v>
      </c>
      <c r="ED4" s="129"/>
      <c r="EE4" s="120"/>
      <c r="EF4" s="129"/>
      <c r="EG4" s="129"/>
      <c r="EH4" s="69"/>
      <c r="EI4" s="130"/>
      <c r="EJ4" s="130"/>
      <c r="EK4" s="130"/>
      <c r="EL4" s="130"/>
      <c r="EM4" s="129" t="s">
        <v>13</v>
      </c>
      <c r="EN4" s="129">
        <f>COUNTIFS(Table1[Country/ Region/ Global],'Quant analysis'!$EN$1,Table1[The Six Conditions of Systems Change (WORK IN PROGRESS)],'Quant analysis'!EM4)</f>
        <v>0</v>
      </c>
      <c r="EO4" s="129"/>
      <c r="EP4" s="120"/>
      <c r="EQ4" s="129"/>
      <c r="ER4" s="129"/>
      <c r="ES4" s="69"/>
      <c r="ET4" s="130"/>
      <c r="EU4" s="130"/>
      <c r="EV4" s="130"/>
      <c r="EW4" s="129" t="s">
        <v>13</v>
      </c>
      <c r="EX4" s="129">
        <f>COUNTIFS(Table1[Country/ Region/ Global],'Quant analysis'!$EX$1,Table1[The Six Conditions of Systems Change (WORK IN PROGRESS)],'Quant analysis'!EW4)</f>
        <v>0</v>
      </c>
      <c r="EY4" s="129"/>
      <c r="EZ4" s="120"/>
      <c r="FA4" s="129"/>
      <c r="FB4" s="129"/>
      <c r="FC4" s="69"/>
      <c r="FD4" s="130"/>
      <c r="FE4" s="130"/>
    </row>
    <row r="5" spans="1:161" x14ac:dyDescent="0.2">
      <c r="A5" s="129" t="s">
        <v>88</v>
      </c>
      <c r="B5" s="129">
        <f>COUNTIF(Outcomes!J:J,'Quant analysis'!A5)</f>
        <v>0</v>
      </c>
      <c r="C5" s="130"/>
      <c r="D5" s="130"/>
      <c r="E5" s="16">
        <f>SUM(E2:E4)</f>
        <v>0</v>
      </c>
      <c r="F5" s="18">
        <f t="shared" ref="F5:J5" si="8">SUM(F2:F4)</f>
        <v>0</v>
      </c>
      <c r="G5" s="18">
        <f t="shared" si="8"/>
        <v>0</v>
      </c>
      <c r="H5" s="18">
        <f t="shared" si="8"/>
        <v>0</v>
      </c>
      <c r="I5" s="18">
        <f t="shared" si="8"/>
        <v>0</v>
      </c>
      <c r="J5" s="18">
        <f t="shared" si="8"/>
        <v>0</v>
      </c>
      <c r="K5" s="106">
        <f t="shared" ref="K5:N5" si="9">SUM(K2:K4)</f>
        <v>0</v>
      </c>
      <c r="L5" s="106">
        <f t="shared" si="9"/>
        <v>0</v>
      </c>
      <c r="M5" s="106">
        <f t="shared" si="9"/>
        <v>0</v>
      </c>
      <c r="N5" s="106">
        <f t="shared" si="9"/>
        <v>0</v>
      </c>
      <c r="O5" s="16"/>
      <c r="P5" s="130"/>
      <c r="Q5" s="130"/>
      <c r="R5" s="130"/>
      <c r="S5" s="130" t="s">
        <v>244</v>
      </c>
      <c r="T5" s="129" t="s">
        <v>123</v>
      </c>
      <c r="U5" s="129">
        <f>COUNTIF(Outcomes!$L:$L,'Quant analysis'!$T5)</f>
        <v>0</v>
      </c>
      <c r="V5" s="19">
        <f>COUNTIFS(Outcomes!$L:$L,'Quant analysis'!$T5,Outcomes!$Q:$Q,V$1)</f>
        <v>0</v>
      </c>
      <c r="W5" s="19">
        <f>COUNTIFS(Outcomes!$L:$L,'Quant analysis'!$T5,Outcomes!$Q:$Q,W$1)</f>
        <v>0</v>
      </c>
      <c r="X5" s="19">
        <f>COUNTIFS(Outcomes!$L:$L,'Quant analysis'!$T5,Outcomes!$Q:$Q,X$1)</f>
        <v>0</v>
      </c>
      <c r="Y5" s="19">
        <f>COUNTIFS(Outcomes!$L:$L,'Quant analysis'!$T5,Outcomes!$Q:$Q,Y$1)</f>
        <v>0</v>
      </c>
      <c r="Z5" s="19">
        <f>COUNTIFS(Outcomes!$L:$L,'Quant analysis'!$T5,Outcomes!$Q:$Q,Z$1)</f>
        <v>0</v>
      </c>
      <c r="AA5" s="105">
        <f>COUNTIFS(Outcomes!$L:$L,'Quant analysis'!$T5,Outcomes!$Q:$Q,AA$1)</f>
        <v>0</v>
      </c>
      <c r="AB5" s="105">
        <f>COUNTIFS(Outcomes!$L:$L,'Quant analysis'!$T5,Outcomes!$Q:$Q,AB$1)</f>
        <v>0</v>
      </c>
      <c r="AC5" s="105">
        <f>COUNTIFS(Outcomes!$L:$L,'Quant analysis'!$T5,Outcomes!$Q:$Q,AC$1)</f>
        <v>0</v>
      </c>
      <c r="AD5" s="105">
        <f>COUNTIFS(Outcomes!$L:$L,'Quant analysis'!$T5,Outcomes!$Q:$Q,AD$1)</f>
        <v>0</v>
      </c>
      <c r="AE5" s="130">
        <f t="shared" si="0"/>
        <v>0</v>
      </c>
      <c r="AF5" s="130"/>
      <c r="AG5" s="14" t="s">
        <v>111</v>
      </c>
      <c r="AH5" s="129">
        <f>COUNTIF(Outcomes!O:O,'Quant analysis'!AG5)</f>
        <v>0</v>
      </c>
      <c r="AI5" s="19">
        <f>COUNTIFS(Outcomes!$O:$O,'Quant analysis'!$AG5,Outcomes!$Q:$Q,AI$1)</f>
        <v>0</v>
      </c>
      <c r="AJ5" s="19">
        <f>COUNTIFS(Outcomes!$O:$O,'Quant analysis'!$AG5,Outcomes!$Q:$Q,AJ$1)</f>
        <v>0</v>
      </c>
      <c r="AK5" s="19">
        <f>COUNTIFS(Outcomes!$O:$O,'Quant analysis'!$AG5,Outcomes!$Q:$Q,AK$1)</f>
        <v>0</v>
      </c>
      <c r="AL5" s="19">
        <f>COUNTIFS(Outcomes!$O:$O,'Quant analysis'!$AG5,Outcomes!$Q:$Q,AL$1)</f>
        <v>0</v>
      </c>
      <c r="AM5" s="19">
        <f>COUNTIFS(Outcomes!$O:$O,'Quant analysis'!$AG5,Outcomes!$Q:$Q,AM$1)</f>
        <v>0</v>
      </c>
      <c r="AN5" s="105">
        <f>COUNTIFS(Outcomes!$O:$O,'Quant analysis'!$AG5,Outcomes!$Q:$Q,AN$1)</f>
        <v>0</v>
      </c>
      <c r="AO5" s="105">
        <f>COUNTIFS(Outcomes!$O:$O,'Quant analysis'!$AG5,Outcomes!$Q:$Q,AO$1)</f>
        <v>0</v>
      </c>
      <c r="AP5" s="105">
        <f>COUNTIFS(Outcomes!$O:$O,'Quant analysis'!$AG5,Outcomes!$Q:$Q,AP$1)</f>
        <v>0</v>
      </c>
      <c r="AQ5" s="105">
        <f>COUNTIFS(Outcomes!$O:$O,'Quant analysis'!$AG5,Outcomes!$Q:$Q,AQ$1)</f>
        <v>0</v>
      </c>
      <c r="AR5" s="130">
        <f t="shared" si="1"/>
        <v>0</v>
      </c>
      <c r="AS5" s="130"/>
      <c r="AT5" s="129" t="s">
        <v>92</v>
      </c>
      <c r="AU5" s="129">
        <f>COUNTIF(Outcomes!P:P,'Quant analysis'!AT5)</f>
        <v>0</v>
      </c>
      <c r="AV5" s="19">
        <f>COUNTIFS(Outcomes!$P:$P,'Quant analysis'!$AT5,Outcomes!$Q:$Q,AV$1)</f>
        <v>0</v>
      </c>
      <c r="AW5" s="19">
        <f>COUNTIFS(Outcomes!$P:$P,'Quant analysis'!$AT5,Outcomes!$Q:$Q,AW$1)</f>
        <v>0</v>
      </c>
      <c r="AX5" s="19">
        <f>COUNTIFS(Outcomes!$P:$P,'Quant analysis'!$AT5,Outcomes!$Q:$Q,AX$1)</f>
        <v>0</v>
      </c>
      <c r="AY5" s="19">
        <f>COUNTIFS(Outcomes!$P:$P,'Quant analysis'!$AT5,Outcomes!$Q:$Q,AY$1)</f>
        <v>0</v>
      </c>
      <c r="AZ5" s="19">
        <f>COUNTIFS(Outcomes!$P:$P,'Quant analysis'!$AT5,Outcomes!$Q:$Q,AZ$1)</f>
        <v>0</v>
      </c>
      <c r="BA5" s="105">
        <f>COUNTIFS(Outcomes!$P:$P,'Quant analysis'!$AT5,Outcomes!$Q:$Q,BA$1)</f>
        <v>0</v>
      </c>
      <c r="BB5" s="105">
        <f>COUNTIFS(Outcomes!$P:$P,'Quant analysis'!$AT5,Outcomes!$Q:$Q,BB$1)</f>
        <v>0</v>
      </c>
      <c r="BC5" s="105">
        <f>COUNTIFS(Outcomes!$P:$P,'Quant analysis'!$AT5,Outcomes!$Q:$Q,BC$1)</f>
        <v>0</v>
      </c>
      <c r="BD5" s="105">
        <f>COUNTIFS(Outcomes!$P:$P,'Quant analysis'!$AT5,Outcomes!$Q:$Q,BD$1)</f>
        <v>0</v>
      </c>
      <c r="BE5" s="20">
        <f t="shared" si="2"/>
        <v>0</v>
      </c>
      <c r="BF5" s="130"/>
      <c r="BG5" s="129" t="s">
        <v>182</v>
      </c>
      <c r="BH5" s="129">
        <f>COUNTIF(Outcomes!S:S,'Quant analysis'!BG5)</f>
        <v>0</v>
      </c>
      <c r="BI5" s="19">
        <f>COUNTIFS(Outcomes!$S:$S,'Quant analysis'!$BG5,Outcomes!$Q:$Q,BI$1)</f>
        <v>0</v>
      </c>
      <c r="BJ5" s="19">
        <f>COUNTIFS(Outcomes!$S:$S,'Quant analysis'!$BG5,Outcomes!$Q:$Q,BJ$1)</f>
        <v>0</v>
      </c>
      <c r="BK5" s="19">
        <f>COUNTIFS(Outcomes!$S:$S,'Quant analysis'!$BG5,Outcomes!$Q:$Q,BK$1)</f>
        <v>0</v>
      </c>
      <c r="BL5" s="19">
        <f>COUNTIFS(Outcomes!$S:$S,'Quant analysis'!$BG5,Outcomes!$Q:$Q,BL$1)</f>
        <v>0</v>
      </c>
      <c r="BM5" s="19">
        <f>COUNTIFS(Outcomes!$S:$S,'Quant analysis'!$BG5,Outcomes!$Q:$Q,BM$1)</f>
        <v>0</v>
      </c>
      <c r="BN5" s="105">
        <f>COUNTIFS(Outcomes!$S:$S,'Quant analysis'!$BG5,Outcomes!$Q:$Q,BN$1)</f>
        <v>0</v>
      </c>
      <c r="BO5" s="105">
        <f>COUNTIFS(Outcomes!$S:$S,'Quant analysis'!$BG5,Outcomes!$Q:$Q,BO$1)</f>
        <v>0</v>
      </c>
      <c r="BP5" s="105">
        <f>COUNTIFS(Outcomes!$S:$S,'Quant analysis'!$BG5,Outcomes!$Q:$Q,BP$1)</f>
        <v>0</v>
      </c>
      <c r="BQ5" s="105">
        <f>COUNTIFS(Outcomes!$S:$S,'Quant analysis'!$BG5,Outcomes!$Q:$Q,BQ$1)</f>
        <v>0</v>
      </c>
      <c r="BR5" s="130">
        <f t="shared" si="3"/>
        <v>0</v>
      </c>
      <c r="BS5" s="16"/>
      <c r="BT5" s="129" t="s">
        <v>242</v>
      </c>
      <c r="BU5" s="129" t="s">
        <v>116</v>
      </c>
      <c r="BV5" s="68">
        <f>COUNTIF(Outcomes!U:Y,'Quant analysis'!BU5)</f>
        <v>0</v>
      </c>
      <c r="BW5" s="19">
        <f>COUNTIFS(Outcomes!$U:$U,'Quant analysis'!$BU5,Outcomes!$Q:$Q,BW$1)+COUNTIFS(Outcomes!$V:$V,'Quant analysis'!$BU5,Outcomes!$Q:$Q,BW$1)+COUNTIFS(Outcomes!$W:$W,'Quant analysis'!$BU5,Outcomes!$Q:$Q,BW$1)+COUNTIFS(Outcomes!$X:$X,'Quant analysis'!$BU5,Outcomes!$Q:$Q,BW$1)+COUNTIFS(Outcomes!$Y:$Y,'Quant analysis'!$BU5,Outcomes!$Q:$Q,BW$1)</f>
        <v>0</v>
      </c>
      <c r="BX5" s="19">
        <f>COUNTIFS(Outcomes!$U:$U,'Quant analysis'!$BU5,Outcomes!$Q:$Q,BX$1)+COUNTIFS(Outcomes!$V:$V,'Quant analysis'!$BU5,Outcomes!$Q:$Q,BX$1)+COUNTIFS(Outcomes!$W:$W,'Quant analysis'!$BU5,Outcomes!$Q:$Q,BX$1)+COUNTIFS(Outcomes!$X:$X,'Quant analysis'!$BU5,Outcomes!$Q:$Q,BX$1)+COUNTIFS(Outcomes!$Y:$Y,'Quant analysis'!$BU5,Outcomes!$Q:$Q,BX$1)</f>
        <v>0</v>
      </c>
      <c r="BY5" s="19">
        <f>COUNTIFS(Outcomes!$U:$U,'Quant analysis'!$BU5,Outcomes!$Q:$Q,BY$1)+COUNTIFS(Outcomes!$V:$V,'Quant analysis'!$BU5,Outcomes!$Q:$Q,BY$1)+COUNTIFS(Outcomes!$W:$W,'Quant analysis'!$BU5,Outcomes!$Q:$Q,BY$1)+COUNTIFS(Outcomes!$X:$X,'Quant analysis'!$BU5,Outcomes!$Q:$Q,BY$1)+COUNTIFS(Outcomes!$Y:$Y,'Quant analysis'!$BU5,Outcomes!$Q:$Q,BY$1)</f>
        <v>0</v>
      </c>
      <c r="BZ5" s="19">
        <f>COUNTIFS(Outcomes!$U:$U,'Quant analysis'!$BU5,Outcomes!$Q:$Q,BZ$1)+COUNTIFS(Outcomes!$V:$V,'Quant analysis'!$BU5,Outcomes!$Q:$Q,BZ$1)+COUNTIFS(Outcomes!$W:$W,'Quant analysis'!$BU5,Outcomes!$Q:$Q,BZ$1)+COUNTIFS(Outcomes!$X:$X,'Quant analysis'!$BU5,Outcomes!$Q:$Q,BZ$1)+COUNTIFS(Outcomes!$Y:$Y,'Quant analysis'!$BU5,Outcomes!$Q:$Q,BZ$1)</f>
        <v>0</v>
      </c>
      <c r="CA5" s="19">
        <f>COUNTIFS(Outcomes!$U:$U,'Quant analysis'!$BU5,Outcomes!$Q:$Q,CA$1)+COUNTIFS(Outcomes!$V:$V,'Quant analysis'!$BU5,Outcomes!$Q:$Q,CA$1)+COUNTIFS(Outcomes!$W:$W,'Quant analysis'!$BU5,Outcomes!$Q:$Q,CA$1)+COUNTIFS(Outcomes!$X:$X,'Quant analysis'!$BU5,Outcomes!$Q:$Q,CA$1)+COUNTIFS(Outcomes!$Y:$Y,'Quant analysis'!$BU5,Outcomes!$Q:$Q,CA$1)</f>
        <v>0</v>
      </c>
      <c r="CB5" s="105">
        <f>COUNTIFS(Outcomes!$U:$U,'Quant analysis'!$BU5,Outcomes!$Q:$Q,CB$1)+COUNTIFS(Outcomes!$V:$V,'Quant analysis'!$BU5,Outcomes!$Q:$Q,CB$1)+COUNTIFS(Outcomes!$W:$W,'Quant analysis'!$BU5,Outcomes!$Q:$Q,CB$1)+COUNTIFS(Outcomes!$X:$X,'Quant analysis'!$BU5,Outcomes!$Q:$Q,CB$1)+COUNTIFS(Outcomes!$Y:$Y,'Quant analysis'!$BU5,Outcomes!$Q:$Q,CB$1)</f>
        <v>0</v>
      </c>
      <c r="CC5" s="105">
        <f>COUNTIFS(Outcomes!$U:$U,'Quant analysis'!$BU5,Outcomes!$Q:$Q,CC$1)+COUNTIFS(Outcomes!$V:$V,'Quant analysis'!$BU5,Outcomes!$Q:$Q,CC$1)+COUNTIFS(Outcomes!$W:$W,'Quant analysis'!$BU5,Outcomes!$Q:$Q,CC$1)+COUNTIFS(Outcomes!$X:$X,'Quant analysis'!$BU5,Outcomes!$Q:$Q,CC$1)+COUNTIFS(Outcomes!$Y:$Y,'Quant analysis'!$BU5,Outcomes!$Q:$Q,CC$1)</f>
        <v>0</v>
      </c>
      <c r="CD5" s="105">
        <f>COUNTIFS(Outcomes!$U:$U,'Quant analysis'!$BU5,Outcomes!$Q:$Q,CD$1)+COUNTIFS(Outcomes!$V:$V,'Quant analysis'!$BU5,Outcomes!$Q:$Q,CD$1)+COUNTIFS(Outcomes!$W:$W,'Quant analysis'!$BU5,Outcomes!$Q:$Q,CD$1)+COUNTIFS(Outcomes!$X:$X,'Quant analysis'!$BU5,Outcomes!$Q:$Q,CD$1)+COUNTIFS(Outcomes!$Y:$Y,'Quant analysis'!$BU5,Outcomes!$Q:$Q,CD$1)</f>
        <v>0</v>
      </c>
      <c r="CE5" s="105">
        <f>COUNTIFS(Outcomes!$U:$U,'Quant analysis'!$BU5,Outcomes!$Q:$Q,CE$1)+COUNTIFS(Outcomes!$V:$V,'Quant analysis'!$BU5,Outcomes!$Q:$Q,CE$1)+COUNTIFS(Outcomes!$W:$W,'Quant analysis'!$BU5,Outcomes!$Q:$Q,CE$1)+COUNTIFS(Outcomes!$X:$X,'Quant analysis'!$BU5,Outcomes!$Q:$Q,CE$1)+COUNTIFS(Outcomes!$Y:$Y,'Quant analysis'!$BU5,Outcomes!$Q:$Q,CE$1)</f>
        <v>0</v>
      </c>
      <c r="CF5" s="129">
        <f t="shared" si="4"/>
        <v>0</v>
      </c>
      <c r="CG5" s="130"/>
      <c r="CH5" s="129" t="s">
        <v>95</v>
      </c>
      <c r="CI5" s="129">
        <f>COUNTIF(Table1[Level of influence],'Quant analysis'!CH5)</f>
        <v>0</v>
      </c>
      <c r="CJ5" s="129">
        <f>COUNTIFS(Table1[Country/ Region/ Global],'Quant analysis'!CJ1,Table1[Level of influence],'Quant analysis'!CH5)</f>
        <v>0</v>
      </c>
      <c r="CK5" s="129">
        <f>COUNTIFS(Table1[Country/ Region/ Global],'Quant analysis'!CK1,Table1[Level of influence],'Quant analysis'!CH5)</f>
        <v>0</v>
      </c>
      <c r="CL5" s="129">
        <f>COUNTIFS(Table1[Country/ Region/ Global],'Quant analysis'!CL$1,Table1[Level of influence],'Quant analysis'!$CH5)</f>
        <v>0</v>
      </c>
      <c r="CM5" s="129">
        <f>COUNTIFS(Table1[Country/ Region/ Global],'Quant analysis'!CM$1,Table1[Level of influence],'Quant analysis'!$CH5)</f>
        <v>0</v>
      </c>
      <c r="CN5" s="129">
        <f>COUNTIFS(Table1[Country/ Region/ Global],'Quant analysis'!CN$1,Table1[Level of influence],'Quant analysis'!$CH5)</f>
        <v>0</v>
      </c>
      <c r="CO5" s="129">
        <f>COUNTIFS(Table1[Country/ Region/ Global],'Quant analysis'!CO$1,Table1[Level of influence],'Quant analysis'!$CH5)</f>
        <v>0</v>
      </c>
      <c r="CP5" s="129">
        <f>COUNTIFS(Table1[Country/ Region/ Global],'Quant analysis'!CP$1,Table1[Level of influence],'Quant analysis'!$CH5)</f>
        <v>0</v>
      </c>
      <c r="CQ5" s="129">
        <f>COUNTIFS(Table1[Country/ Region/ Global],'Quant analysis'!CQ$1,Table1[Level of influence],'Quant analysis'!$CH5)</f>
        <v>0</v>
      </c>
      <c r="CR5" s="129">
        <f>COUNTIFS(Table1[Country/ Region/ Global],'Quant analysis'!CR$1,Table1[Level of influence],'Quant analysis'!$CH5)</f>
        <v>0</v>
      </c>
      <c r="CS5" s="130">
        <f>SUM(CJ5:CR5)</f>
        <v>0</v>
      </c>
      <c r="CT5" s="130">
        <f>CO5+CP5+CQ5+CR5</f>
        <v>0</v>
      </c>
      <c r="CU5" s="130"/>
      <c r="CV5" s="131"/>
      <c r="CW5" s="129" t="s">
        <v>12</v>
      </c>
      <c r="CX5" s="129">
        <f>COUNTIFS(Table1[Level of influence],'Quant analysis'!CX1,Table1[The Six Conditions of Systems Change (WORK IN PROGRESS)],'Quant analysis'!CW5)</f>
        <v>0</v>
      </c>
      <c r="CY5" s="129">
        <f>COUNTIFS(Table1[Level of influence],'Quant analysis'!CY1,Table1[The Six Conditions of Systems Change (WORK IN PROGRESS)],'Quant analysis'!CW5)</f>
        <v>0</v>
      </c>
      <c r="CZ5" s="120">
        <f t="shared" si="5"/>
        <v>0</v>
      </c>
      <c r="DA5" s="129">
        <f>COUNTIFS(Table1[Level of influence],'Quant analysis'!DA1,Table1[The Six Conditions of Systems Change (WORK IN PROGRESS)],'Quant analysis'!CW5)</f>
        <v>0</v>
      </c>
      <c r="DB5" s="129">
        <f>COUNTIFS(Table1[Level of influence],'Quant analysis'!DB1,Table1[The Six Conditions of Systems Change (WORK IN PROGRESS)],'Quant analysis'!CW5)</f>
        <v>0</v>
      </c>
      <c r="DC5" s="69">
        <f t="shared" si="6"/>
        <v>0</v>
      </c>
      <c r="DD5" s="130"/>
      <c r="DE5" s="130"/>
      <c r="DF5" s="130"/>
      <c r="DG5" s="130"/>
      <c r="DH5" s="129" t="s">
        <v>242</v>
      </c>
      <c r="DI5" s="129" t="s">
        <v>116</v>
      </c>
      <c r="DJ5" s="68">
        <f t="shared" si="7"/>
        <v>0</v>
      </c>
      <c r="DK5" s="19">
        <f>COUNTIFS(Table1[Level of influence],"subnational",Table1[The Six Conditions of Systems Change (WORK IN PROGRESS)],"Policies",Table1[Output contribution 1],'Quant analysis'!DI5)+COUNTIFS(Table1[Level of influence],"subnational",Table1[The Six Conditions of Systems Change (WORK IN PROGRESS)],"Policies",Table1[Output contribution 2],'Quant analysis'!DI5)+COUNTIFS(Table1[Level of influence],"subnational",Table1[The Six Conditions of Systems Change (WORK IN PROGRESS)],"Policies",Table1[Output contribution 3],'Quant analysis'!DI5)+COUNTIFS(Table1[Level of influence],"subnational",Table1[The Six Conditions of Systems Change (WORK IN PROGRESS)],"Policies",Table1[Output contribution 4],'Quant analysis'!DI5)+COUNTIFS(Table1[Level of influence],"subnational",Table1[The Six Conditions of Systems Change (WORK IN PROGRESS)],"Policies",Table1[Output contribution 5],'Quant analysis'!DI5)+COUNTIFS(Table1[Level of influence],"national",Table1[The Six Conditions of Systems Change (WORK IN PROGRESS)],"Policies",Table1[Output contribution 1],'Quant analysis'!DI5)+COUNTIFS(Table1[Level of influence],"national",Table1[The Six Conditions of Systems Change (WORK IN PROGRESS)],"Policies",Table1[Output contribution 2],'Quant analysis'!DI5)+COUNTIFS(Table1[Level of influence],"national",Table1[The Six Conditions of Systems Change (WORK IN PROGRESS)],"Policies",Table1[Output contribution 3],'Quant analysis'!DI5)+COUNTIFS(Table1[Level of influence],"national",Table1[The Six Conditions of Systems Change (WORK IN PROGRESS)],"Policies",Table1[Output contribution 4],'Quant analysis'!DI5)+COUNTIFS(Table1[Level of influence],"national",Table1[The Six Conditions of Systems Change (WORK IN PROGRESS)],"Policies",Table1[Output contribution 5],'Quant analysis'!DI5)</f>
        <v>0</v>
      </c>
      <c r="DL5" s="19">
        <f>COUNTIFS(Table1[Level of influence],"subnational",Table1[The Six Conditions of Systems Change (WORK IN PROGRESS)],"Practices",Table1[Output contribution 1],'Quant analysis'!$DI5)+COUNTIFS(Table1[Level of influence],"subnational",Table1[The Six Conditions of Systems Change (WORK IN PROGRESS)],"Practices",Table1[Output contribution 2],'Quant analysis'!$DI5)+COUNTIFS(Table1[Level of influence],"subnational",Table1[The Six Conditions of Systems Change (WORK IN PROGRESS)],"Practices",Table1[Output contribution 3],'Quant analysis'!$DI5)+COUNTIFS(Table1[Level of influence],"subnational",Table1[The Six Conditions of Systems Change (WORK IN PROGRESS)],"Practices",Table1[Output contribution 4],'Quant analysis'!$DI5)+COUNTIFS(Table1[Level of influence],"subnational",Table1[The Six Conditions of Systems Change (WORK IN PROGRESS)],"Practices",Table1[Output contribution 5],'Quant analysis'!$DI5)+COUNTIFS(Table1[Level of influence],"national",Table1[The Six Conditions of Systems Change (WORK IN PROGRESS)],"Practices",Table1[Output contribution 1],'Quant analysis'!$DI5)+COUNTIFS(Table1[Level of influence],"national",Table1[The Six Conditions of Systems Change (WORK IN PROGRESS)],"Practices",Table1[Output contribution 2],'Quant analysis'!$DI5)+COUNTIFS(Table1[Level of influence],"national",Table1[The Six Conditions of Systems Change (WORK IN PROGRESS)],"Practices",Table1[Output contribution 3],'Quant analysis'!$DI5)+COUNTIFS(Table1[Level of influence],"national",Table1[The Six Conditions of Systems Change (WORK IN PROGRESS)],"Practices",Table1[Output contribution 4],'Quant analysis'!$DI5)+COUNTIFS(Table1[Level of influence],"national",Table1[The Six Conditions of Systems Change (WORK IN PROGRESS)],"Practices",Table1[Output contribution 5],'Quant analysis'!$DI5)</f>
        <v>0</v>
      </c>
      <c r="DM5" s="19">
        <f>COUNTIFS(Table1[Level of influence],"subnational",Table1[The Six Conditions of Systems Change (WORK IN PROGRESS)],DM$1,Table1[Output contribution 1],'Quant analysis'!$DI5)+COUNTIFS(Table1[Level of influence],"subnational",Table1[The Six Conditions of Systems Change (WORK IN PROGRESS)],DM$1,Table1[Output contribution 2],'Quant analysis'!$DI5)+COUNTIFS(Table1[Level of influence],"subnational",Table1[The Six Conditions of Systems Change (WORK IN PROGRESS)],DM$1,Table1[Output contribution 3],'Quant analysis'!$DI5)+COUNTIFS(Table1[Level of influence],"subnational",Table1[The Six Conditions of Systems Change (WORK IN PROGRESS)],DM$1,Table1[Output contribution 4],'Quant analysis'!$DI5)+COUNTIFS(Table1[Level of influence],"subnational",Table1[The Six Conditions of Systems Change (WORK IN PROGRESS)],DM$1,Table1[Output contribution 5],'Quant analysis'!$DI5)+COUNTIFS(Table1[Level of influence],"national",Table1[The Six Conditions of Systems Change (WORK IN PROGRESS)],DM$1,Table1[Output contribution 1],'Quant analysis'!$DI5)+COUNTIFS(Table1[Level of influence],"national",Table1[The Six Conditions of Systems Change (WORK IN PROGRESS)],DM$1,Table1[Output contribution 2],'Quant analysis'!$DI5)+COUNTIFS(Table1[Level of influence],"national",Table1[The Six Conditions of Systems Change (WORK IN PROGRESS)],DM$1,Table1[Output contribution 3],'Quant analysis'!$DI5)+COUNTIFS(Table1[Level of influence],"national",Table1[The Six Conditions of Systems Change (WORK IN PROGRESS)],DM$1,Table1[Output contribution 4],'Quant analysis'!$DI5)+COUNTIFS(Table1[Level of influence],"national",Table1[The Six Conditions of Systems Change (WORK IN PROGRESS)],DM$1,Table1[Output contribution 5],'Quant analysis'!$DI5)</f>
        <v>0</v>
      </c>
      <c r="DN5" s="19">
        <f>COUNTIFS(Table1[Level of influence],"subnational",Table1[The Six Conditions of Systems Change (WORK IN PROGRESS)],DN$1,Table1[Output contribution 1],'Quant analysis'!$DI5)+COUNTIFS(Table1[Level of influence],"subnational",Table1[The Six Conditions of Systems Change (WORK IN PROGRESS)],DN$1,Table1[Output contribution 2],'Quant analysis'!$DI5)+COUNTIFS(Table1[Level of influence],"subnational",Table1[The Six Conditions of Systems Change (WORK IN PROGRESS)],DN$1,Table1[Output contribution 3],'Quant analysis'!$DI5)+COUNTIFS(Table1[Level of influence],"subnational",Table1[The Six Conditions of Systems Change (WORK IN PROGRESS)],DN$1,Table1[Output contribution 4],'Quant analysis'!$DI5)+COUNTIFS(Table1[Level of influence],"subnational",Table1[The Six Conditions of Systems Change (WORK IN PROGRESS)],DN$1,Table1[Output contribution 5],'Quant analysis'!$DI5)+COUNTIFS(Table1[Level of influence],"national",Table1[The Six Conditions of Systems Change (WORK IN PROGRESS)],DN$1,Table1[Output contribution 1],'Quant analysis'!$DI5)+COUNTIFS(Table1[Level of influence],"national",Table1[The Six Conditions of Systems Change (WORK IN PROGRESS)],DN$1,Table1[Output contribution 2],'Quant analysis'!$DI5)+COUNTIFS(Table1[Level of influence],"national",Table1[The Six Conditions of Systems Change (WORK IN PROGRESS)],DN$1,Table1[Output contribution 3],'Quant analysis'!$DI5)+COUNTIFS(Table1[Level of influence],"national",Table1[The Six Conditions of Systems Change (WORK IN PROGRESS)],DN$1,Table1[Output contribution 4],'Quant analysis'!$DI5)+COUNTIFS(Table1[Level of influence],"national",Table1[The Six Conditions of Systems Change (WORK IN PROGRESS)],DN$1,Table1[Output contribution 5],'Quant analysis'!$DI5)</f>
        <v>0</v>
      </c>
      <c r="DO5" s="19">
        <f>COUNTIFS(Table1[Level of influence],"subnational",Table1[The Six Conditions of Systems Change (WORK IN PROGRESS)],DO$1,Table1[Output contribution 1],'Quant analysis'!$DI5)+COUNTIFS(Table1[Level of influence],"subnational",Table1[The Six Conditions of Systems Change (WORK IN PROGRESS)],DO$1,Table1[Output contribution 2],'Quant analysis'!$DI5)+COUNTIFS(Table1[Level of influence],"subnational",Table1[The Six Conditions of Systems Change (WORK IN PROGRESS)],DO$1,Table1[Output contribution 3],'Quant analysis'!$DI5)+COUNTIFS(Table1[Level of influence],"subnational",Table1[The Six Conditions of Systems Change (WORK IN PROGRESS)],DO$1,Table1[Output contribution 4],'Quant analysis'!$DI5)+COUNTIFS(Table1[Level of influence],"subnational",Table1[The Six Conditions of Systems Change (WORK IN PROGRESS)],DO$1,Table1[Output contribution 5],'Quant analysis'!$DI5)+COUNTIFS(Table1[Level of influence],"national",Table1[The Six Conditions of Systems Change (WORK IN PROGRESS)],DO$1,Table1[Output contribution 1],'Quant analysis'!$DI5)+COUNTIFS(Table1[Level of influence],"national",Table1[The Six Conditions of Systems Change (WORK IN PROGRESS)],DO$1,Table1[Output contribution 2],'Quant analysis'!$DI5)+COUNTIFS(Table1[Level of influence],"national",Table1[The Six Conditions of Systems Change (WORK IN PROGRESS)],DO$1,Table1[Output contribution 3],'Quant analysis'!$DI5)+COUNTIFS(Table1[Level of influence],"national",Table1[The Six Conditions of Systems Change (WORK IN PROGRESS)],DO$1,Table1[Output contribution 4],'Quant analysis'!$DI5)+COUNTIFS(Table1[Level of influence],"national",Table1[The Six Conditions of Systems Change (WORK IN PROGRESS)],DO$1,Table1[Output contribution 5],'Quant analysis'!$DI5)</f>
        <v>0</v>
      </c>
      <c r="DP5" s="19">
        <f>COUNTIFS(Table1[Level of influence],"subnational",Table1[The Six Conditions of Systems Change (WORK IN PROGRESS)],DP$1,Table1[Output contribution 1],'Quant analysis'!$DI5)+COUNTIFS(Table1[Level of influence],"subnational",Table1[The Six Conditions of Systems Change (WORK IN PROGRESS)],DP$1,Table1[Output contribution 2],'Quant analysis'!$DI5)+COUNTIFS(Table1[Level of influence],"subnational",Table1[The Six Conditions of Systems Change (WORK IN PROGRESS)],DP$1,Table1[Output contribution 3],'Quant analysis'!$DI5)+COUNTIFS(Table1[Level of influence],"subnational",Table1[The Six Conditions of Systems Change (WORK IN PROGRESS)],DP$1,Table1[Output contribution 4],'Quant analysis'!$DI5)+COUNTIFS(Table1[Level of influence],"subnational",Table1[The Six Conditions of Systems Change (WORK IN PROGRESS)],DP$1,Table1[Output contribution 5],'Quant analysis'!$DI5)+COUNTIFS(Table1[Level of influence],"national",Table1[The Six Conditions of Systems Change (WORK IN PROGRESS)],DP$1,Table1[Output contribution 1],'Quant analysis'!$DI5)+COUNTIFS(Table1[Level of influence],"national",Table1[The Six Conditions of Systems Change (WORK IN PROGRESS)],DP$1,Table1[Output contribution 2],'Quant analysis'!$DI5)+COUNTIFS(Table1[Level of influence],"national",Table1[The Six Conditions of Systems Change (WORK IN PROGRESS)],DP$1,Table1[Output contribution 3],'Quant analysis'!$DI5)+COUNTIFS(Table1[Level of influence],"national",Table1[The Six Conditions of Systems Change (WORK IN PROGRESS)],DP$1,Table1[Output contribution 4],'Quant analysis'!$DI5)+COUNTIFS(Table1[Level of influence],"national",Table1[The Six Conditions of Systems Change (WORK IN PROGRESS)],DP$1,Table1[Output contribution 5],'Quant analysis'!$DI5)</f>
        <v>0</v>
      </c>
      <c r="DQ5" s="130"/>
      <c r="DR5" s="130"/>
      <c r="DS5" s="157" t="s">
        <v>245</v>
      </c>
      <c r="DT5" s="129">
        <f>COUNTIFS(Table1[The Six Conditions of Systems Change (WORK IN PROGRESS)],'Quant analysis'!DT$1,Table1[Level of influence],"subnational",Table1['# of quarters between first contribution statement ],'Quant analysis'!$DS5)+COUNTIFS(Table1[The Six Conditions of Systems Change (WORK IN PROGRESS)],'Quant analysis'!DT$1,Table1[Level of influence],"national",Table1['# of quarters between first contribution statement ],'Quant analysis'!$DS5)</f>
        <v>0</v>
      </c>
      <c r="DU5" s="129">
        <f>COUNTIFS(Table1[The Six Conditions of Systems Change (WORK IN PROGRESS)],'Quant analysis'!DU$1,Table1[Level of influence],"subnational",Table1['# of quarters between first contribution statement ],'Quant analysis'!$DS5)+COUNTIFS(Table1[The Six Conditions of Systems Change (WORK IN PROGRESS)],'Quant analysis'!DU$1,Table1[Level of influence],"national",Table1['# of quarters between first contribution statement ],'Quant analysis'!$DS5)</f>
        <v>0</v>
      </c>
      <c r="DV5" s="129">
        <f>COUNTIFS(Table1[The Six Conditions of Systems Change (WORK IN PROGRESS)],'Quant analysis'!DV$1,Table1[Level of influence],"subnational",Table1['# of quarters between first contribution statement ],'Quant analysis'!$DS5)+COUNTIFS(Table1[The Six Conditions of Systems Change (WORK IN PROGRESS)],'Quant analysis'!DV$1,Table1[Level of influence],"national",Table1['# of quarters between first contribution statement ],'Quant analysis'!$DS5)</f>
        <v>0</v>
      </c>
      <c r="DW5" s="129">
        <f>COUNTIFS(Table1[The Six Conditions of Systems Change (WORK IN PROGRESS)],'Quant analysis'!DW$1,Table1[Level of influence],"subnational",Table1['# of quarters between first contribution statement ],'Quant analysis'!$DS5)+COUNTIFS(Table1[The Six Conditions of Systems Change (WORK IN PROGRESS)],'Quant analysis'!DW$1,Table1[Level of influence],"national",Table1['# of quarters between first contribution statement ],'Quant analysis'!$DS5)</f>
        <v>0</v>
      </c>
      <c r="DX5" s="129">
        <f>COUNTIFS(Table1[The Six Conditions of Systems Change (WORK IN PROGRESS)],'Quant analysis'!DX$1,Table1[Level of influence],"subnational",Table1['# of quarters between first contribution statement ],'Quant analysis'!$DS5)+COUNTIFS(Table1[The Six Conditions of Systems Change (WORK IN PROGRESS)],'Quant analysis'!DX$1,Table1[Level of influence],"national",Table1['# of quarters between first contribution statement ],'Quant analysis'!$DS5)</f>
        <v>0</v>
      </c>
      <c r="DY5" s="129">
        <f>COUNTIFS(Table1[The Six Conditions of Systems Change (WORK IN PROGRESS)],'Quant analysis'!DY$1,Table1[Level of influence],"subnational",Table1['# of quarters between first contribution statement ],'Quant analysis'!$DS5)+COUNTIFS(Table1[The Six Conditions of Systems Change (WORK IN PROGRESS)],'Quant analysis'!DY$1,Table1[Level of influence],"national",Table1['# of quarters between first contribution statement ],'Quant analysis'!$DS5)</f>
        <v>0</v>
      </c>
      <c r="DZ5" s="129"/>
      <c r="EA5" s="130"/>
      <c r="EB5" s="129" t="s">
        <v>12</v>
      </c>
      <c r="EC5" s="129">
        <f>COUNTIFS(Table1[Country/ Region/ Global],'Quant analysis'!$EC$1,Table1[The Six Conditions of Systems Change (WORK IN PROGRESS)],'Quant analysis'!EB5)</f>
        <v>0</v>
      </c>
      <c r="ED5" s="129"/>
      <c r="EE5" s="120"/>
      <c r="EF5" s="129"/>
      <c r="EG5" s="129"/>
      <c r="EH5" s="69"/>
      <c r="EI5" s="130"/>
      <c r="EJ5" s="130"/>
      <c r="EK5" s="130"/>
      <c r="EL5" s="130"/>
      <c r="EM5" s="129" t="s">
        <v>12</v>
      </c>
      <c r="EN5" s="129">
        <f>COUNTIFS(Table1[Country/ Region/ Global],'Quant analysis'!$EN$1,Table1[The Six Conditions of Systems Change (WORK IN PROGRESS)],'Quant analysis'!EM5)</f>
        <v>0</v>
      </c>
      <c r="EO5" s="129"/>
      <c r="EP5" s="120"/>
      <c r="EQ5" s="129"/>
      <c r="ER5" s="129"/>
      <c r="ES5" s="69"/>
      <c r="ET5" s="130"/>
      <c r="EU5" s="130"/>
      <c r="EV5" s="130"/>
      <c r="EW5" s="129" t="s">
        <v>12</v>
      </c>
      <c r="EX5" s="129">
        <f>COUNTIFS(Table1[Country/ Region/ Global],'Quant analysis'!$EX$1,Table1[The Six Conditions of Systems Change (WORK IN PROGRESS)],'Quant analysis'!EW5)</f>
        <v>0</v>
      </c>
      <c r="EY5" s="129"/>
      <c r="EZ5" s="120"/>
      <c r="FA5" s="129"/>
      <c r="FB5" s="129"/>
      <c r="FC5" s="69"/>
      <c r="FD5" s="130"/>
      <c r="FE5" s="130"/>
    </row>
    <row r="6" spans="1:161" x14ac:dyDescent="0.2">
      <c r="A6" s="129" t="s">
        <v>109</v>
      </c>
      <c r="B6" s="129">
        <f>COUNTIF(Outcomes!J:J,'Quant analysis'!A6)</f>
        <v>0</v>
      </c>
      <c r="C6" s="130"/>
      <c r="D6" s="130"/>
      <c r="E6" s="130"/>
      <c r="F6" s="130"/>
      <c r="G6" s="130"/>
      <c r="H6" s="130"/>
      <c r="I6" s="130"/>
      <c r="J6" s="130"/>
      <c r="K6" s="130"/>
      <c r="L6" s="130"/>
      <c r="M6" s="130"/>
      <c r="N6" s="130">
        <f>SUM(F5:N5)</f>
        <v>0</v>
      </c>
      <c r="O6" s="130"/>
      <c r="P6" s="130"/>
      <c r="Q6" s="130"/>
      <c r="R6" s="130" t="s">
        <v>3</v>
      </c>
      <c r="S6" s="130" t="s">
        <v>236</v>
      </c>
      <c r="T6" s="129" t="s">
        <v>90</v>
      </c>
      <c r="U6" s="129">
        <f>COUNTIF(Outcomes!$L:$L,'Quant analysis'!$T6)</f>
        <v>0</v>
      </c>
      <c r="V6" s="19">
        <f>COUNTIFS(Outcomes!$L:$L,'Quant analysis'!$T6,Outcomes!$Q:$Q,V$1)</f>
        <v>0</v>
      </c>
      <c r="W6" s="19">
        <f>COUNTIFS(Outcomes!$L:$L,'Quant analysis'!$T6,Outcomes!$Q:$Q,W$1)</f>
        <v>0</v>
      </c>
      <c r="X6" s="19">
        <f>COUNTIFS(Outcomes!$L:$L,'Quant analysis'!$T6,Outcomes!$Q:$Q,X$1)</f>
        <v>0</v>
      </c>
      <c r="Y6" s="19">
        <f>COUNTIFS(Outcomes!$L:$L,'Quant analysis'!$T6,Outcomes!$Q:$Q,Y$1)</f>
        <v>0</v>
      </c>
      <c r="Z6" s="19">
        <f>COUNTIFS(Outcomes!$L:$L,'Quant analysis'!$T6,Outcomes!$Q:$Q,Z$1)</f>
        <v>0</v>
      </c>
      <c r="AA6" s="105">
        <f>COUNTIFS(Outcomes!$L:$L,'Quant analysis'!$T6,Outcomes!$Q:$Q,AA$1)</f>
        <v>0</v>
      </c>
      <c r="AB6" s="105">
        <f>COUNTIFS(Outcomes!$L:$L,'Quant analysis'!$T6,Outcomes!$Q:$Q,AB$1)</f>
        <v>0</v>
      </c>
      <c r="AC6" s="105">
        <f>COUNTIFS(Outcomes!$L:$L,'Quant analysis'!$T6,Outcomes!$Q:$Q,AC$1)</f>
        <v>0</v>
      </c>
      <c r="AD6" s="105">
        <f>COUNTIFS(Outcomes!$L:$L,'Quant analysis'!$T6,Outcomes!$Q:$Q,AD$1)</f>
        <v>0</v>
      </c>
      <c r="AE6" s="130">
        <f t="shared" si="0"/>
        <v>0</v>
      </c>
      <c r="AF6" s="130"/>
      <c r="AG6" s="15" t="s">
        <v>349</v>
      </c>
      <c r="AH6" s="129">
        <f>COUNTIF(Outcomes!O:O,'Quant analysis'!AG6)</f>
        <v>0</v>
      </c>
      <c r="AI6" s="19">
        <f>COUNTIFS(Outcomes!$O:$O,'Quant analysis'!$AG6,Outcomes!$Q:$Q,AI$1)</f>
        <v>0</v>
      </c>
      <c r="AJ6" s="19">
        <f>COUNTIFS(Outcomes!$O:$O,'Quant analysis'!$AG6,Outcomes!$Q:$Q,AJ$1)</f>
        <v>0</v>
      </c>
      <c r="AK6" s="19">
        <f>COUNTIFS(Outcomes!$O:$O,'Quant analysis'!$AG6,Outcomes!$Q:$Q,AK$1)</f>
        <v>0</v>
      </c>
      <c r="AL6" s="19">
        <f>COUNTIFS(Outcomes!$O:$O,'Quant analysis'!$AG6,Outcomes!$Q:$Q,AL$1)</f>
        <v>0</v>
      </c>
      <c r="AM6" s="19">
        <f>COUNTIFS(Outcomes!$O:$O,'Quant analysis'!$AG6,Outcomes!$Q:$Q,AM$1)</f>
        <v>0</v>
      </c>
      <c r="AN6" s="105">
        <f>COUNTIFS(Outcomes!$O:$O,'Quant analysis'!$AG6,Outcomes!$Q:$Q,AN$1)</f>
        <v>0</v>
      </c>
      <c r="AO6" s="105">
        <f>COUNTIFS(Outcomes!$O:$O,'Quant analysis'!$AG6,Outcomes!$Q:$Q,AO$1)</f>
        <v>0</v>
      </c>
      <c r="AP6" s="105">
        <f>COUNTIFS(Outcomes!$O:$O,'Quant analysis'!$AG6,Outcomes!$Q:$Q,AP$1)</f>
        <v>0</v>
      </c>
      <c r="AQ6" s="105">
        <f>COUNTIFS(Outcomes!$O:$O,'Quant analysis'!$AG6,Outcomes!$Q:$Q,AQ$1)</f>
        <v>0</v>
      </c>
      <c r="AR6" s="130">
        <f t="shared" si="1"/>
        <v>0</v>
      </c>
      <c r="AS6" s="130"/>
      <c r="AT6" s="129" t="s">
        <v>133</v>
      </c>
      <c r="AU6" s="129">
        <f>COUNTIF(Outcomes!P:P,'Quant analysis'!AT6)</f>
        <v>0</v>
      </c>
      <c r="AV6" s="19">
        <f>COUNTIFS(Outcomes!$P:$P,'Quant analysis'!$AT6,Outcomes!$Q:$Q,AV$1)</f>
        <v>0</v>
      </c>
      <c r="AW6" s="19">
        <f>COUNTIFS(Outcomes!$P:$P,'Quant analysis'!$AT6,Outcomes!$Q:$Q,AW$1)</f>
        <v>0</v>
      </c>
      <c r="AX6" s="19">
        <f>COUNTIFS(Outcomes!$P:$P,'Quant analysis'!$AT6,Outcomes!$Q:$Q,AX$1)</f>
        <v>0</v>
      </c>
      <c r="AY6" s="19">
        <f>COUNTIFS(Outcomes!$P:$P,'Quant analysis'!$AT6,Outcomes!$Q:$Q,AY$1)</f>
        <v>0</v>
      </c>
      <c r="AZ6" s="19">
        <f>COUNTIFS(Outcomes!$P:$P,'Quant analysis'!$AT6,Outcomes!$Q:$Q,AZ$1)</f>
        <v>0</v>
      </c>
      <c r="BA6" s="105">
        <f>COUNTIFS(Outcomes!$P:$P,'Quant analysis'!$AT6,Outcomes!$Q:$Q,BA$1)</f>
        <v>0</v>
      </c>
      <c r="BB6" s="105">
        <f>COUNTIFS(Outcomes!$P:$P,'Quant analysis'!$AT6,Outcomes!$Q:$Q,BB$1)</f>
        <v>0</v>
      </c>
      <c r="BC6" s="105">
        <f>COUNTIFS(Outcomes!$P:$P,'Quant analysis'!$AT6,Outcomes!$Q:$Q,BC$1)</f>
        <v>0</v>
      </c>
      <c r="BD6" s="105">
        <f>COUNTIFS(Outcomes!$P:$P,'Quant analysis'!$AT6,Outcomes!$Q:$Q,BD$1)</f>
        <v>0</v>
      </c>
      <c r="BE6" s="20">
        <f t="shared" si="2"/>
        <v>0</v>
      </c>
      <c r="BF6" s="130"/>
      <c r="BG6" s="129" t="s">
        <v>169</v>
      </c>
      <c r="BH6" s="129">
        <f>COUNTIF(Outcomes!S:S,'Quant analysis'!BG6)</f>
        <v>0</v>
      </c>
      <c r="BI6" s="19">
        <f>COUNTIFS(Outcomes!$S:$S,'Quant analysis'!$BG6,Outcomes!$Q:$Q,BI$1)</f>
        <v>0</v>
      </c>
      <c r="BJ6" s="19">
        <f>COUNTIFS(Outcomes!$S:$S,'Quant analysis'!$BG6,Outcomes!$Q:$Q,BJ$1)</f>
        <v>0</v>
      </c>
      <c r="BK6" s="19">
        <f>COUNTIFS(Outcomes!$S:$S,'Quant analysis'!$BG6,Outcomes!$Q:$Q,BK$1)</f>
        <v>0</v>
      </c>
      <c r="BL6" s="19">
        <f>COUNTIFS(Outcomes!$S:$S,'Quant analysis'!$BG6,Outcomes!$Q:$Q,BL$1)</f>
        <v>0</v>
      </c>
      <c r="BM6" s="19">
        <f>COUNTIFS(Outcomes!$S:$S,'Quant analysis'!$BG6,Outcomes!$Q:$Q,BM$1)</f>
        <v>0</v>
      </c>
      <c r="BN6" s="105">
        <f>COUNTIFS(Outcomes!$S:$S,'Quant analysis'!$BG6,Outcomes!$Q:$Q,BN$1)</f>
        <v>0</v>
      </c>
      <c r="BO6" s="105">
        <f>COUNTIFS(Outcomes!$S:$S,'Quant analysis'!$BG6,Outcomes!$Q:$Q,BO$1)</f>
        <v>0</v>
      </c>
      <c r="BP6" s="105">
        <f>COUNTIFS(Outcomes!$S:$S,'Quant analysis'!$BG6,Outcomes!$Q:$Q,BP$1)</f>
        <v>0</v>
      </c>
      <c r="BQ6" s="105">
        <f>COUNTIFS(Outcomes!$S:$S,'Quant analysis'!$BG6,Outcomes!$Q:$Q,BQ$1)</f>
        <v>0</v>
      </c>
      <c r="BR6" s="130">
        <f t="shared" si="3"/>
        <v>0</v>
      </c>
      <c r="BS6" s="16"/>
      <c r="BT6" s="129"/>
      <c r="BU6" s="129" t="s">
        <v>147</v>
      </c>
      <c r="BV6" s="68">
        <f>COUNTIF(Outcomes!U:Y,'Quant analysis'!BU6)</f>
        <v>0</v>
      </c>
      <c r="BW6" s="19">
        <f>COUNTIFS(Outcomes!$U:$U,'Quant analysis'!$BU6,Outcomes!$Q:$Q,BW$1)+COUNTIFS(Outcomes!$V:$V,'Quant analysis'!$BU6,Outcomes!$Q:$Q,BW$1)+COUNTIFS(Outcomes!$W:$W,'Quant analysis'!$BU6,Outcomes!$Q:$Q,BW$1)+COUNTIFS(Outcomes!$X:$X,'Quant analysis'!$BU6,Outcomes!$Q:$Q,BW$1)+COUNTIFS(Outcomes!$Y:$Y,'Quant analysis'!$BU6,Outcomes!$Q:$Q,BW$1)</f>
        <v>0</v>
      </c>
      <c r="BX6" s="19">
        <f>COUNTIFS(Outcomes!$U:$U,'Quant analysis'!$BU6,Outcomes!$Q:$Q,BX$1)+COUNTIFS(Outcomes!$V:$V,'Quant analysis'!$BU6,Outcomes!$Q:$Q,BX$1)+COUNTIFS(Outcomes!$W:$W,'Quant analysis'!$BU6,Outcomes!$Q:$Q,BX$1)+COUNTIFS(Outcomes!$X:$X,'Quant analysis'!$BU6,Outcomes!$Q:$Q,BX$1)+COUNTIFS(Outcomes!$Y:$Y,'Quant analysis'!$BU6,Outcomes!$Q:$Q,BX$1)</f>
        <v>0</v>
      </c>
      <c r="BY6" s="19">
        <f>COUNTIFS(Outcomes!$U:$U,'Quant analysis'!$BU6,Outcomes!$Q:$Q,BY$1)+COUNTIFS(Outcomes!$V:$V,'Quant analysis'!$BU6,Outcomes!$Q:$Q,BY$1)+COUNTIFS(Outcomes!$W:$W,'Quant analysis'!$BU6,Outcomes!$Q:$Q,BY$1)+COUNTIFS(Outcomes!$X:$X,'Quant analysis'!$BU6,Outcomes!$Q:$Q,BY$1)+COUNTIFS(Outcomes!$Y:$Y,'Quant analysis'!$BU6,Outcomes!$Q:$Q,BY$1)</f>
        <v>0</v>
      </c>
      <c r="BZ6" s="19">
        <f>COUNTIFS(Outcomes!$U:$U,'Quant analysis'!$BU6,Outcomes!$Q:$Q,BZ$1)+COUNTIFS(Outcomes!$V:$V,'Quant analysis'!$BU6,Outcomes!$Q:$Q,BZ$1)+COUNTIFS(Outcomes!$W:$W,'Quant analysis'!$BU6,Outcomes!$Q:$Q,BZ$1)+COUNTIFS(Outcomes!$X:$X,'Quant analysis'!$BU6,Outcomes!$Q:$Q,BZ$1)+COUNTIFS(Outcomes!$Y:$Y,'Quant analysis'!$BU6,Outcomes!$Q:$Q,BZ$1)</f>
        <v>0</v>
      </c>
      <c r="CA6" s="19">
        <f>COUNTIFS(Outcomes!$U:$U,'Quant analysis'!$BU6,Outcomes!$Q:$Q,CA$1)+COUNTIFS(Outcomes!$V:$V,'Quant analysis'!$BU6,Outcomes!$Q:$Q,CA$1)+COUNTIFS(Outcomes!$W:$W,'Quant analysis'!$BU6,Outcomes!$Q:$Q,CA$1)+COUNTIFS(Outcomes!$X:$X,'Quant analysis'!$BU6,Outcomes!$Q:$Q,CA$1)+COUNTIFS(Outcomes!$Y:$Y,'Quant analysis'!$BU6,Outcomes!$Q:$Q,CA$1)</f>
        <v>0</v>
      </c>
      <c r="CB6" s="105">
        <f>COUNTIFS(Outcomes!$U:$U,'Quant analysis'!$BU6,Outcomes!$Q:$Q,CB$1)+COUNTIFS(Outcomes!$V:$V,'Quant analysis'!$BU6,Outcomes!$Q:$Q,CB$1)+COUNTIFS(Outcomes!$W:$W,'Quant analysis'!$BU6,Outcomes!$Q:$Q,CB$1)+COUNTIFS(Outcomes!$X:$X,'Quant analysis'!$BU6,Outcomes!$Q:$Q,CB$1)+COUNTIFS(Outcomes!$Y:$Y,'Quant analysis'!$BU6,Outcomes!$Q:$Q,CB$1)</f>
        <v>0</v>
      </c>
      <c r="CC6" s="105">
        <f>COUNTIFS(Outcomes!$U:$U,'Quant analysis'!$BU6,Outcomes!$Q:$Q,CC$1)+COUNTIFS(Outcomes!$V:$V,'Quant analysis'!$BU6,Outcomes!$Q:$Q,CC$1)+COUNTIFS(Outcomes!$W:$W,'Quant analysis'!$BU6,Outcomes!$Q:$Q,CC$1)+COUNTIFS(Outcomes!$X:$X,'Quant analysis'!$BU6,Outcomes!$Q:$Q,CC$1)+COUNTIFS(Outcomes!$Y:$Y,'Quant analysis'!$BU6,Outcomes!$Q:$Q,CC$1)</f>
        <v>0</v>
      </c>
      <c r="CD6" s="105">
        <f>COUNTIFS(Outcomes!$U:$U,'Quant analysis'!$BU6,Outcomes!$Q:$Q,CD$1)+COUNTIFS(Outcomes!$V:$V,'Quant analysis'!$BU6,Outcomes!$Q:$Q,CD$1)+COUNTIFS(Outcomes!$W:$W,'Quant analysis'!$BU6,Outcomes!$Q:$Q,CD$1)+COUNTIFS(Outcomes!$X:$X,'Quant analysis'!$BU6,Outcomes!$Q:$Q,CD$1)+COUNTIFS(Outcomes!$Y:$Y,'Quant analysis'!$BU6,Outcomes!$Q:$Q,CD$1)</f>
        <v>0</v>
      </c>
      <c r="CE6" s="105">
        <f>COUNTIFS(Outcomes!$U:$U,'Quant analysis'!$BU6,Outcomes!$Q:$Q,CE$1)+COUNTIFS(Outcomes!$V:$V,'Quant analysis'!$BU6,Outcomes!$Q:$Q,CE$1)+COUNTIFS(Outcomes!$W:$W,'Quant analysis'!$BU6,Outcomes!$Q:$Q,CE$1)+COUNTIFS(Outcomes!$X:$X,'Quant analysis'!$BU6,Outcomes!$Q:$Q,CE$1)+COUNTIFS(Outcomes!$Y:$Y,'Quant analysis'!$BU6,Outcomes!$Q:$Q,CE$1)</f>
        <v>0</v>
      </c>
      <c r="CF6" s="129">
        <f t="shared" si="4"/>
        <v>0</v>
      </c>
      <c r="CG6" s="130"/>
      <c r="CH6" s="130"/>
      <c r="CI6" s="130">
        <f>SUM(CI2:CI5)</f>
        <v>0</v>
      </c>
      <c r="CJ6" s="130">
        <f>SUM(CJ2:CJ5)</f>
        <v>0</v>
      </c>
      <c r="CK6" s="130">
        <f t="shared" ref="CK6:CT6" si="10">SUM(CK2:CK5)</f>
        <v>0</v>
      </c>
      <c r="CL6" s="130">
        <f t="shared" si="10"/>
        <v>0</v>
      </c>
      <c r="CM6" s="130">
        <f t="shared" si="10"/>
        <v>0</v>
      </c>
      <c r="CN6" s="130">
        <f t="shared" si="10"/>
        <v>0</v>
      </c>
      <c r="CO6" s="130">
        <f t="shared" si="10"/>
        <v>0</v>
      </c>
      <c r="CP6" s="130">
        <f t="shared" si="10"/>
        <v>0</v>
      </c>
      <c r="CQ6" s="130">
        <f t="shared" si="10"/>
        <v>0</v>
      </c>
      <c r="CR6" s="130">
        <f t="shared" si="10"/>
        <v>0</v>
      </c>
      <c r="CS6" s="130">
        <f t="shared" si="10"/>
        <v>0</v>
      </c>
      <c r="CT6" s="130">
        <f t="shared" si="10"/>
        <v>0</v>
      </c>
      <c r="CU6" s="130"/>
      <c r="CV6" s="131"/>
      <c r="CW6" s="129" t="s">
        <v>10</v>
      </c>
      <c r="CX6" s="129">
        <f>COUNTIFS(Table1[Level of influence],'Quant analysis'!CX1,Table1[The Six Conditions of Systems Change (WORK IN PROGRESS)],'Quant analysis'!CW6)</f>
        <v>0</v>
      </c>
      <c r="CY6" s="129">
        <f>COUNTIFS(Table1[Level of influence],'Quant analysis'!CY1,Table1[The Six Conditions of Systems Change (WORK IN PROGRESS)],'Quant analysis'!CW6)</f>
        <v>0</v>
      </c>
      <c r="CZ6" s="120">
        <f t="shared" si="5"/>
        <v>0</v>
      </c>
      <c r="DA6" s="129">
        <f>COUNTIFS(Table1[Level of influence],'Quant analysis'!DA1,Table1[The Six Conditions of Systems Change (WORK IN PROGRESS)],'Quant analysis'!CW6)</f>
        <v>0</v>
      </c>
      <c r="DB6" s="129">
        <f>COUNTIFS(Table1[Level of influence],'Quant analysis'!DB1,Table1[The Six Conditions of Systems Change (WORK IN PROGRESS)],'Quant analysis'!CW6)</f>
        <v>0</v>
      </c>
      <c r="DC6" s="69">
        <f t="shared" si="6"/>
        <v>0</v>
      </c>
      <c r="DD6" s="130"/>
      <c r="DE6" s="130"/>
      <c r="DF6" s="130"/>
      <c r="DG6" s="130"/>
      <c r="DH6" s="129"/>
      <c r="DI6" s="129" t="s">
        <v>147</v>
      </c>
      <c r="DJ6" s="68">
        <f t="shared" si="7"/>
        <v>0</v>
      </c>
      <c r="DK6" s="19">
        <f>COUNTIFS(Table1[Level of influence],"subnational",Table1[The Six Conditions of Systems Change (WORK IN PROGRESS)],"Policies",Table1[Output contribution 1],'Quant analysis'!DI6)+COUNTIFS(Table1[Level of influence],"subnational",Table1[The Six Conditions of Systems Change (WORK IN PROGRESS)],"Policies",Table1[Output contribution 2],'Quant analysis'!DI6)+COUNTIFS(Table1[Level of influence],"subnational",Table1[The Six Conditions of Systems Change (WORK IN PROGRESS)],"Policies",Table1[Output contribution 3],'Quant analysis'!DI6)+COUNTIFS(Table1[Level of influence],"subnational",Table1[The Six Conditions of Systems Change (WORK IN PROGRESS)],"Policies",Table1[Output contribution 4],'Quant analysis'!DI6)+COUNTIFS(Table1[Level of influence],"subnational",Table1[The Six Conditions of Systems Change (WORK IN PROGRESS)],"Policies",Table1[Output contribution 5],'Quant analysis'!DI6)+COUNTIFS(Table1[Level of influence],"national",Table1[The Six Conditions of Systems Change (WORK IN PROGRESS)],"Policies",Table1[Output contribution 1],'Quant analysis'!DI6)+COUNTIFS(Table1[Level of influence],"national",Table1[The Six Conditions of Systems Change (WORK IN PROGRESS)],"Policies",Table1[Output contribution 2],'Quant analysis'!DI6)+COUNTIFS(Table1[Level of influence],"national",Table1[The Six Conditions of Systems Change (WORK IN PROGRESS)],"Policies",Table1[Output contribution 3],'Quant analysis'!DI6)+COUNTIFS(Table1[Level of influence],"national",Table1[The Six Conditions of Systems Change (WORK IN PROGRESS)],"Policies",Table1[Output contribution 4],'Quant analysis'!DI6)+COUNTIFS(Table1[Level of influence],"national",Table1[The Six Conditions of Systems Change (WORK IN PROGRESS)],"Policies",Table1[Output contribution 5],'Quant analysis'!DI6)</f>
        <v>0</v>
      </c>
      <c r="DL6" s="19">
        <f>COUNTIFS(Table1[Level of influence],"subnational",Table1[The Six Conditions of Systems Change (WORK IN PROGRESS)],"Practices",Table1[Output contribution 1],'Quant analysis'!$DI6)+COUNTIFS(Table1[Level of influence],"subnational",Table1[The Six Conditions of Systems Change (WORK IN PROGRESS)],"Practices",Table1[Output contribution 2],'Quant analysis'!$DI6)+COUNTIFS(Table1[Level of influence],"subnational",Table1[The Six Conditions of Systems Change (WORK IN PROGRESS)],"Practices",Table1[Output contribution 3],'Quant analysis'!$DI6)+COUNTIFS(Table1[Level of influence],"subnational",Table1[The Six Conditions of Systems Change (WORK IN PROGRESS)],"Practices",Table1[Output contribution 4],'Quant analysis'!$DI6)+COUNTIFS(Table1[Level of influence],"subnational",Table1[The Six Conditions of Systems Change (WORK IN PROGRESS)],"Practices",Table1[Output contribution 5],'Quant analysis'!$DI6)+COUNTIFS(Table1[Level of influence],"national",Table1[The Six Conditions of Systems Change (WORK IN PROGRESS)],"Practices",Table1[Output contribution 1],'Quant analysis'!$DI6)+COUNTIFS(Table1[Level of influence],"national",Table1[The Six Conditions of Systems Change (WORK IN PROGRESS)],"Practices",Table1[Output contribution 2],'Quant analysis'!$DI6)+COUNTIFS(Table1[Level of influence],"national",Table1[The Six Conditions of Systems Change (WORK IN PROGRESS)],"Practices",Table1[Output contribution 3],'Quant analysis'!$DI6)+COUNTIFS(Table1[Level of influence],"national",Table1[The Six Conditions of Systems Change (WORK IN PROGRESS)],"Practices",Table1[Output contribution 4],'Quant analysis'!$DI6)+COUNTIFS(Table1[Level of influence],"national",Table1[The Six Conditions of Systems Change (WORK IN PROGRESS)],"Practices",Table1[Output contribution 5],'Quant analysis'!$DI6)</f>
        <v>0</v>
      </c>
      <c r="DM6" s="19">
        <f>COUNTIFS(Table1[Level of influence],"subnational",Table1[The Six Conditions of Systems Change (WORK IN PROGRESS)],DM$1,Table1[Output contribution 1],'Quant analysis'!$DI6)+COUNTIFS(Table1[Level of influence],"subnational",Table1[The Six Conditions of Systems Change (WORK IN PROGRESS)],DM$1,Table1[Output contribution 2],'Quant analysis'!$DI6)+COUNTIFS(Table1[Level of influence],"subnational",Table1[The Six Conditions of Systems Change (WORK IN PROGRESS)],DM$1,Table1[Output contribution 3],'Quant analysis'!$DI6)+COUNTIFS(Table1[Level of influence],"subnational",Table1[The Six Conditions of Systems Change (WORK IN PROGRESS)],DM$1,Table1[Output contribution 4],'Quant analysis'!$DI6)+COUNTIFS(Table1[Level of influence],"subnational",Table1[The Six Conditions of Systems Change (WORK IN PROGRESS)],DM$1,Table1[Output contribution 5],'Quant analysis'!$DI6)+COUNTIFS(Table1[Level of influence],"national",Table1[The Six Conditions of Systems Change (WORK IN PROGRESS)],DM$1,Table1[Output contribution 1],'Quant analysis'!$DI6)+COUNTIFS(Table1[Level of influence],"national",Table1[The Six Conditions of Systems Change (WORK IN PROGRESS)],DM$1,Table1[Output contribution 2],'Quant analysis'!$DI6)+COUNTIFS(Table1[Level of influence],"national",Table1[The Six Conditions of Systems Change (WORK IN PROGRESS)],DM$1,Table1[Output contribution 3],'Quant analysis'!$DI6)+COUNTIFS(Table1[Level of influence],"national",Table1[The Six Conditions of Systems Change (WORK IN PROGRESS)],DM$1,Table1[Output contribution 4],'Quant analysis'!$DI6)+COUNTIFS(Table1[Level of influence],"national",Table1[The Six Conditions of Systems Change (WORK IN PROGRESS)],DM$1,Table1[Output contribution 5],'Quant analysis'!$DI6)</f>
        <v>0</v>
      </c>
      <c r="DN6" s="19">
        <f>COUNTIFS(Table1[Level of influence],"subnational",Table1[The Six Conditions of Systems Change (WORK IN PROGRESS)],DN$1,Table1[Output contribution 1],'Quant analysis'!$DI6)+COUNTIFS(Table1[Level of influence],"subnational",Table1[The Six Conditions of Systems Change (WORK IN PROGRESS)],DN$1,Table1[Output contribution 2],'Quant analysis'!$DI6)+COUNTIFS(Table1[Level of influence],"subnational",Table1[The Six Conditions of Systems Change (WORK IN PROGRESS)],DN$1,Table1[Output contribution 3],'Quant analysis'!$DI6)+COUNTIFS(Table1[Level of influence],"subnational",Table1[The Six Conditions of Systems Change (WORK IN PROGRESS)],DN$1,Table1[Output contribution 4],'Quant analysis'!$DI6)+COUNTIFS(Table1[Level of influence],"subnational",Table1[The Six Conditions of Systems Change (WORK IN PROGRESS)],DN$1,Table1[Output contribution 5],'Quant analysis'!$DI6)+COUNTIFS(Table1[Level of influence],"national",Table1[The Six Conditions of Systems Change (WORK IN PROGRESS)],DN$1,Table1[Output contribution 1],'Quant analysis'!$DI6)+COUNTIFS(Table1[Level of influence],"national",Table1[The Six Conditions of Systems Change (WORK IN PROGRESS)],DN$1,Table1[Output contribution 2],'Quant analysis'!$DI6)+COUNTIFS(Table1[Level of influence],"national",Table1[The Six Conditions of Systems Change (WORK IN PROGRESS)],DN$1,Table1[Output contribution 3],'Quant analysis'!$DI6)+COUNTIFS(Table1[Level of influence],"national",Table1[The Six Conditions of Systems Change (WORK IN PROGRESS)],DN$1,Table1[Output contribution 4],'Quant analysis'!$DI6)+COUNTIFS(Table1[Level of influence],"national",Table1[The Six Conditions of Systems Change (WORK IN PROGRESS)],DN$1,Table1[Output contribution 5],'Quant analysis'!$DI6)</f>
        <v>0</v>
      </c>
      <c r="DO6" s="19">
        <f>COUNTIFS(Table1[Level of influence],"subnational",Table1[The Six Conditions of Systems Change (WORK IN PROGRESS)],DO$1,Table1[Output contribution 1],'Quant analysis'!$DI6)+COUNTIFS(Table1[Level of influence],"subnational",Table1[The Six Conditions of Systems Change (WORK IN PROGRESS)],DO$1,Table1[Output contribution 2],'Quant analysis'!$DI6)+COUNTIFS(Table1[Level of influence],"subnational",Table1[The Six Conditions of Systems Change (WORK IN PROGRESS)],DO$1,Table1[Output contribution 3],'Quant analysis'!$DI6)+COUNTIFS(Table1[Level of influence],"subnational",Table1[The Six Conditions of Systems Change (WORK IN PROGRESS)],DO$1,Table1[Output contribution 4],'Quant analysis'!$DI6)+COUNTIFS(Table1[Level of influence],"subnational",Table1[The Six Conditions of Systems Change (WORK IN PROGRESS)],DO$1,Table1[Output contribution 5],'Quant analysis'!$DI6)+COUNTIFS(Table1[Level of influence],"national",Table1[The Six Conditions of Systems Change (WORK IN PROGRESS)],DO$1,Table1[Output contribution 1],'Quant analysis'!$DI6)+COUNTIFS(Table1[Level of influence],"national",Table1[The Six Conditions of Systems Change (WORK IN PROGRESS)],DO$1,Table1[Output contribution 2],'Quant analysis'!$DI6)+COUNTIFS(Table1[Level of influence],"national",Table1[The Six Conditions of Systems Change (WORK IN PROGRESS)],DO$1,Table1[Output contribution 3],'Quant analysis'!$DI6)+COUNTIFS(Table1[Level of influence],"national",Table1[The Six Conditions of Systems Change (WORK IN PROGRESS)],DO$1,Table1[Output contribution 4],'Quant analysis'!$DI6)+COUNTIFS(Table1[Level of influence],"national",Table1[The Six Conditions of Systems Change (WORK IN PROGRESS)],DO$1,Table1[Output contribution 5],'Quant analysis'!$DI6)</f>
        <v>0</v>
      </c>
      <c r="DP6" s="19">
        <f>COUNTIFS(Table1[Level of influence],"subnational",Table1[The Six Conditions of Systems Change (WORK IN PROGRESS)],DP$1,Table1[Output contribution 1],'Quant analysis'!$DI6)+COUNTIFS(Table1[Level of influence],"subnational",Table1[The Six Conditions of Systems Change (WORK IN PROGRESS)],DP$1,Table1[Output contribution 2],'Quant analysis'!$DI6)+COUNTIFS(Table1[Level of influence],"subnational",Table1[The Six Conditions of Systems Change (WORK IN PROGRESS)],DP$1,Table1[Output contribution 3],'Quant analysis'!$DI6)+COUNTIFS(Table1[Level of influence],"subnational",Table1[The Six Conditions of Systems Change (WORK IN PROGRESS)],DP$1,Table1[Output contribution 4],'Quant analysis'!$DI6)+COUNTIFS(Table1[Level of influence],"subnational",Table1[The Six Conditions of Systems Change (WORK IN PROGRESS)],DP$1,Table1[Output contribution 5],'Quant analysis'!$DI6)+COUNTIFS(Table1[Level of influence],"national",Table1[The Six Conditions of Systems Change (WORK IN PROGRESS)],DP$1,Table1[Output contribution 1],'Quant analysis'!$DI6)+COUNTIFS(Table1[Level of influence],"national",Table1[The Six Conditions of Systems Change (WORK IN PROGRESS)],DP$1,Table1[Output contribution 2],'Quant analysis'!$DI6)+COUNTIFS(Table1[Level of influence],"national",Table1[The Six Conditions of Systems Change (WORK IN PROGRESS)],DP$1,Table1[Output contribution 3],'Quant analysis'!$DI6)+COUNTIFS(Table1[Level of influence],"national",Table1[The Six Conditions of Systems Change (WORK IN PROGRESS)],DP$1,Table1[Output contribution 4],'Quant analysis'!$DI6)+COUNTIFS(Table1[Level of influence],"national",Table1[The Six Conditions of Systems Change (WORK IN PROGRESS)],DP$1,Table1[Output contribution 5],'Quant analysis'!$DI6)</f>
        <v>0</v>
      </c>
      <c r="DQ6" s="130"/>
      <c r="DR6" s="130"/>
      <c r="DS6" s="157" t="s">
        <v>246</v>
      </c>
      <c r="DT6" s="129">
        <f>COUNTIFS(Table1[The Six Conditions of Systems Change (WORK IN PROGRESS)],'Quant analysis'!DT$1,Table1[Level of influence],"subnational",Table1['# of quarters between first contribution statement ],'Quant analysis'!$DS6)+COUNTIFS(Table1[The Six Conditions of Systems Change (WORK IN PROGRESS)],'Quant analysis'!DT$1,Table1[Level of influence],"national",Table1['# of quarters between first contribution statement ],'Quant analysis'!$DS6)</f>
        <v>0</v>
      </c>
      <c r="DU6" s="129">
        <f>COUNTIFS(Table1[The Six Conditions of Systems Change (WORK IN PROGRESS)],'Quant analysis'!DU$1,Table1[Level of influence],"subnational",Table1['# of quarters between first contribution statement ],'Quant analysis'!$DS6)+COUNTIFS(Table1[The Six Conditions of Systems Change (WORK IN PROGRESS)],'Quant analysis'!DU$1,Table1[Level of influence],"national",Table1['# of quarters between first contribution statement ],'Quant analysis'!$DS6)</f>
        <v>0</v>
      </c>
      <c r="DV6" s="129">
        <f>COUNTIFS(Table1[The Six Conditions of Systems Change (WORK IN PROGRESS)],'Quant analysis'!DV$1,Table1[Level of influence],"subnational",Table1['# of quarters between first contribution statement ],'Quant analysis'!$DS6)+COUNTIFS(Table1[The Six Conditions of Systems Change (WORK IN PROGRESS)],'Quant analysis'!DV$1,Table1[Level of influence],"national",Table1['# of quarters between first contribution statement ],'Quant analysis'!$DS6)</f>
        <v>0</v>
      </c>
      <c r="DW6" s="129">
        <f>COUNTIFS(Table1[The Six Conditions of Systems Change (WORK IN PROGRESS)],'Quant analysis'!DW$1,Table1[Level of influence],"subnational",Table1['# of quarters between first contribution statement ],'Quant analysis'!$DS6)+COUNTIFS(Table1[The Six Conditions of Systems Change (WORK IN PROGRESS)],'Quant analysis'!DW$1,Table1[Level of influence],"national",Table1['# of quarters between first contribution statement ],'Quant analysis'!$DS6)</f>
        <v>0</v>
      </c>
      <c r="DX6" s="129">
        <f>COUNTIFS(Table1[The Six Conditions of Systems Change (WORK IN PROGRESS)],'Quant analysis'!DX$1,Table1[Level of influence],"subnational",Table1['# of quarters between first contribution statement ],'Quant analysis'!$DS6)+COUNTIFS(Table1[The Six Conditions of Systems Change (WORK IN PROGRESS)],'Quant analysis'!DX$1,Table1[Level of influence],"national",Table1['# of quarters between first contribution statement ],'Quant analysis'!$DS6)</f>
        <v>0</v>
      </c>
      <c r="DY6" s="129">
        <f>COUNTIFS(Table1[The Six Conditions of Systems Change (WORK IN PROGRESS)],'Quant analysis'!DY$1,Table1[Level of influence],"subnational",Table1['# of quarters between first contribution statement ],'Quant analysis'!$DS6)+COUNTIFS(Table1[The Six Conditions of Systems Change (WORK IN PROGRESS)],'Quant analysis'!DY$1,Table1[Level of influence],"national",Table1['# of quarters between first contribution statement ],'Quant analysis'!$DS6)</f>
        <v>0</v>
      </c>
      <c r="DZ6" s="129"/>
      <c r="EA6" s="130"/>
      <c r="EB6" s="129" t="s">
        <v>10</v>
      </c>
      <c r="EC6" s="129">
        <f>COUNTIFS(Table1[Country/ Region/ Global],'Quant analysis'!$EC$1,Table1[The Six Conditions of Systems Change (WORK IN PROGRESS)],'Quant analysis'!EB6)</f>
        <v>0</v>
      </c>
      <c r="ED6" s="129"/>
      <c r="EE6" s="120"/>
      <c r="EF6" s="129"/>
      <c r="EG6" s="129"/>
      <c r="EH6" s="69"/>
      <c r="EI6" s="130"/>
      <c r="EJ6" s="130"/>
      <c r="EK6" s="130"/>
      <c r="EL6" s="130"/>
      <c r="EM6" s="129" t="s">
        <v>10</v>
      </c>
      <c r="EN6" s="129">
        <f>COUNTIFS(Table1[Country/ Region/ Global],'Quant analysis'!$EN$1,Table1[The Six Conditions of Systems Change (WORK IN PROGRESS)],'Quant analysis'!EM6)</f>
        <v>0</v>
      </c>
      <c r="EO6" s="129"/>
      <c r="EP6" s="120"/>
      <c r="EQ6" s="129"/>
      <c r="ER6" s="129"/>
      <c r="ES6" s="69"/>
      <c r="ET6" s="130"/>
      <c r="EU6" s="130"/>
      <c r="EV6" s="130"/>
      <c r="EW6" s="129" t="s">
        <v>10</v>
      </c>
      <c r="EX6" s="129">
        <f>COUNTIFS(Table1[Country/ Region/ Global],'Quant analysis'!$EX$1,Table1[The Six Conditions of Systems Change (WORK IN PROGRESS)],'Quant analysis'!EW6)</f>
        <v>0</v>
      </c>
      <c r="EY6" s="129"/>
      <c r="EZ6" s="120"/>
      <c r="FA6" s="129"/>
      <c r="FB6" s="129"/>
      <c r="FC6" s="69"/>
      <c r="FD6" s="130"/>
      <c r="FE6" s="130"/>
    </row>
    <row r="7" spans="1:161" x14ac:dyDescent="0.2">
      <c r="A7" s="129" t="s">
        <v>157</v>
      </c>
      <c r="B7" s="129">
        <f>COUNTIF(Outcomes!J:J,'Quant analysis'!A7)</f>
        <v>0</v>
      </c>
      <c r="C7" s="130"/>
      <c r="D7" s="130"/>
      <c r="E7" s="130"/>
      <c r="F7" s="130"/>
      <c r="G7" s="130"/>
      <c r="H7" s="130"/>
      <c r="I7" s="130"/>
      <c r="J7" s="130"/>
      <c r="K7" s="130"/>
      <c r="L7" s="130"/>
      <c r="M7" s="130"/>
      <c r="N7" s="130"/>
      <c r="O7" s="130"/>
      <c r="P7" s="130"/>
      <c r="Q7" s="130"/>
      <c r="R7" s="130"/>
      <c r="S7" s="130" t="s">
        <v>238</v>
      </c>
      <c r="T7" s="129" t="s">
        <v>98</v>
      </c>
      <c r="U7" s="129">
        <f>COUNTIF(Outcomes!$L:$L,'Quant analysis'!$T7)</f>
        <v>0</v>
      </c>
      <c r="V7" s="19">
        <f>COUNTIFS(Outcomes!$L:$L,'Quant analysis'!$T7,Outcomes!$Q:$Q,V$1)</f>
        <v>0</v>
      </c>
      <c r="W7" s="19">
        <f>COUNTIFS(Outcomes!$L:$L,'Quant analysis'!$T7,Outcomes!$Q:$Q,W$1)</f>
        <v>0</v>
      </c>
      <c r="X7" s="19">
        <f>COUNTIFS(Outcomes!$L:$L,'Quant analysis'!$T7,Outcomes!$Q:$Q,X$1)</f>
        <v>0</v>
      </c>
      <c r="Y7" s="19">
        <f>COUNTIFS(Outcomes!$L:$L,'Quant analysis'!$T7,Outcomes!$Q:$Q,Y$1)</f>
        <v>0</v>
      </c>
      <c r="Z7" s="19">
        <f>COUNTIFS(Outcomes!$L:$L,'Quant analysis'!$T7,Outcomes!$Q:$Q,Z$1)</f>
        <v>0</v>
      </c>
      <c r="AA7" s="105">
        <f>COUNTIFS(Outcomes!$L:$L,'Quant analysis'!$T7,Outcomes!$Q:$Q,AA$1)</f>
        <v>0</v>
      </c>
      <c r="AB7" s="105">
        <f>COUNTIFS(Outcomes!$L:$L,'Quant analysis'!$T7,Outcomes!$Q:$Q,AB$1)</f>
        <v>0</v>
      </c>
      <c r="AC7" s="105">
        <f>COUNTIFS(Outcomes!$L:$L,'Quant analysis'!$T7,Outcomes!$Q:$Q,AC$1)</f>
        <v>0</v>
      </c>
      <c r="AD7" s="105">
        <f>COUNTIFS(Outcomes!$L:$L,'Quant analysis'!$T7,Outcomes!$Q:$Q,AD$1)</f>
        <v>0</v>
      </c>
      <c r="AE7" s="130">
        <f t="shared" si="0"/>
        <v>0</v>
      </c>
      <c r="AF7" s="130"/>
      <c r="AG7" s="15" t="s">
        <v>106</v>
      </c>
      <c r="AH7" s="129">
        <f>COUNTIF(Outcomes!O:O,'Quant analysis'!AG7)</f>
        <v>0</v>
      </c>
      <c r="AI7" s="19">
        <f>COUNTIFS(Outcomes!$O:$O,'Quant analysis'!$AG7,Outcomes!$Q:$Q,AI$1)</f>
        <v>0</v>
      </c>
      <c r="AJ7" s="19">
        <f>COUNTIFS(Outcomes!$O:$O,'Quant analysis'!$AG7,Outcomes!$Q:$Q,AJ$1)</f>
        <v>0</v>
      </c>
      <c r="AK7" s="19">
        <f>COUNTIFS(Outcomes!$O:$O,'Quant analysis'!$AG7,Outcomes!$Q:$Q,AK$1)</f>
        <v>0</v>
      </c>
      <c r="AL7" s="19">
        <f>COUNTIFS(Outcomes!$O:$O,'Quant analysis'!$AG7,Outcomes!$Q:$Q,AL$1)</f>
        <v>0</v>
      </c>
      <c r="AM7" s="19">
        <f>COUNTIFS(Outcomes!$O:$O,'Quant analysis'!$AG7,Outcomes!$Q:$Q,AM$1)</f>
        <v>0</v>
      </c>
      <c r="AN7" s="105">
        <f>COUNTIFS(Outcomes!$O:$O,'Quant analysis'!$AG7,Outcomes!$Q:$Q,AN$1)</f>
        <v>0</v>
      </c>
      <c r="AO7" s="105">
        <f>COUNTIFS(Outcomes!$O:$O,'Quant analysis'!$AG7,Outcomes!$Q:$Q,AO$1)</f>
        <v>0</v>
      </c>
      <c r="AP7" s="105">
        <f>COUNTIFS(Outcomes!$O:$O,'Quant analysis'!$AG7,Outcomes!$Q:$Q,AP$1)</f>
        <v>0</v>
      </c>
      <c r="AQ7" s="105">
        <f>COUNTIFS(Outcomes!$O:$O,'Quant analysis'!$AG7,Outcomes!$Q:$Q,AQ$1)</f>
        <v>0</v>
      </c>
      <c r="AR7" s="130">
        <f t="shared" si="1"/>
        <v>0</v>
      </c>
      <c r="AS7" s="130"/>
      <c r="AT7" s="129" t="s">
        <v>128</v>
      </c>
      <c r="AU7" s="129">
        <f>COUNTIF(Outcomes!P:P,'Quant analysis'!AT7)</f>
        <v>0</v>
      </c>
      <c r="AV7" s="19">
        <f>COUNTIFS(Outcomes!$P:$P,'Quant analysis'!$AT7,Outcomes!$Q:$Q,AV$1)</f>
        <v>0</v>
      </c>
      <c r="AW7" s="19">
        <f>COUNTIFS(Outcomes!$P:$P,'Quant analysis'!$AT7,Outcomes!$Q:$Q,AW$1)</f>
        <v>0</v>
      </c>
      <c r="AX7" s="19">
        <f>COUNTIFS(Outcomes!$P:$P,'Quant analysis'!$AT7,Outcomes!$Q:$Q,AX$1)</f>
        <v>0</v>
      </c>
      <c r="AY7" s="19">
        <f>COUNTIFS(Outcomes!$P:$P,'Quant analysis'!$AT7,Outcomes!$Q:$Q,AY$1)</f>
        <v>0</v>
      </c>
      <c r="AZ7" s="19">
        <f>COUNTIFS(Outcomes!$P:$P,'Quant analysis'!$AT7,Outcomes!$Q:$Q,AZ$1)</f>
        <v>0</v>
      </c>
      <c r="BA7" s="105">
        <f>COUNTIFS(Outcomes!$P:$P,'Quant analysis'!$AT7,Outcomes!$Q:$Q,BA$1)</f>
        <v>0</v>
      </c>
      <c r="BB7" s="105">
        <f>COUNTIFS(Outcomes!$P:$P,'Quant analysis'!$AT7,Outcomes!$Q:$Q,BB$1)</f>
        <v>0</v>
      </c>
      <c r="BC7" s="105">
        <f>COUNTIFS(Outcomes!$P:$P,'Quant analysis'!$AT7,Outcomes!$Q:$Q,BC$1)</f>
        <v>0</v>
      </c>
      <c r="BD7" s="105">
        <f>COUNTIFS(Outcomes!$P:$P,'Quant analysis'!$AT7,Outcomes!$Q:$Q,BD$1)</f>
        <v>0</v>
      </c>
      <c r="BE7" s="20">
        <f t="shared" si="2"/>
        <v>0</v>
      </c>
      <c r="BF7" s="130"/>
      <c r="BG7" s="130"/>
      <c r="BH7" s="16">
        <f>SUM(BH2:BH6)</f>
        <v>0</v>
      </c>
      <c r="BI7" s="18">
        <f t="shared" ref="BI7:BQ7" si="11">SUM(BI2:BI6)</f>
        <v>0</v>
      </c>
      <c r="BJ7" s="18">
        <f t="shared" si="11"/>
        <v>0</v>
      </c>
      <c r="BK7" s="18">
        <f t="shared" si="11"/>
        <v>0</v>
      </c>
      <c r="BL7" s="18">
        <f t="shared" si="11"/>
        <v>0</v>
      </c>
      <c r="BM7" s="18">
        <f t="shared" si="11"/>
        <v>0</v>
      </c>
      <c r="BN7" s="106">
        <f t="shared" si="11"/>
        <v>0</v>
      </c>
      <c r="BO7" s="106">
        <f t="shared" si="11"/>
        <v>0</v>
      </c>
      <c r="BP7" s="106">
        <f t="shared" si="11"/>
        <v>0</v>
      </c>
      <c r="BQ7" s="106">
        <f t="shared" si="11"/>
        <v>0</v>
      </c>
      <c r="BR7" s="130"/>
      <c r="BS7" s="16"/>
      <c r="BT7" s="129"/>
      <c r="BU7" s="129" t="s">
        <v>166</v>
      </c>
      <c r="BV7" s="68">
        <f>COUNTIF(Outcomes!U:Y,'Quant analysis'!BU7)</f>
        <v>0</v>
      </c>
      <c r="BW7" s="19">
        <f>COUNTIFS(Outcomes!$U:$U,'Quant analysis'!$BU7,Outcomes!$Q:$Q,BW$1)+COUNTIFS(Outcomes!$V:$V,'Quant analysis'!$BU7,Outcomes!$Q:$Q,BW$1)+COUNTIFS(Outcomes!$W:$W,'Quant analysis'!$BU7,Outcomes!$Q:$Q,BW$1)+COUNTIFS(Outcomes!$X:$X,'Quant analysis'!$BU7,Outcomes!$Q:$Q,BW$1)+COUNTIFS(Outcomes!$Y:$Y,'Quant analysis'!$BU7,Outcomes!$Q:$Q,BW$1)</f>
        <v>0</v>
      </c>
      <c r="BX7" s="19">
        <f>COUNTIFS(Outcomes!$U:$U,'Quant analysis'!$BU7,Outcomes!$Q:$Q,BX$1)+COUNTIFS(Outcomes!$V:$V,'Quant analysis'!$BU7,Outcomes!$Q:$Q,BX$1)+COUNTIFS(Outcomes!$W:$W,'Quant analysis'!$BU7,Outcomes!$Q:$Q,BX$1)+COUNTIFS(Outcomes!$X:$X,'Quant analysis'!$BU7,Outcomes!$Q:$Q,BX$1)+COUNTIFS(Outcomes!$Y:$Y,'Quant analysis'!$BU7,Outcomes!$Q:$Q,BX$1)</f>
        <v>0</v>
      </c>
      <c r="BY7" s="19">
        <f>COUNTIFS(Outcomes!$U:$U,'Quant analysis'!$BU7,Outcomes!$Q:$Q,BY$1)+COUNTIFS(Outcomes!$V:$V,'Quant analysis'!$BU7,Outcomes!$Q:$Q,BY$1)+COUNTIFS(Outcomes!$W:$W,'Quant analysis'!$BU7,Outcomes!$Q:$Q,BY$1)+COUNTIFS(Outcomes!$X:$X,'Quant analysis'!$BU7,Outcomes!$Q:$Q,BY$1)+COUNTIFS(Outcomes!$Y:$Y,'Quant analysis'!$BU7,Outcomes!$Q:$Q,BY$1)</f>
        <v>0</v>
      </c>
      <c r="BZ7" s="19">
        <f>COUNTIFS(Outcomes!$U:$U,'Quant analysis'!$BU7,Outcomes!$Q:$Q,BZ$1)+COUNTIFS(Outcomes!$V:$V,'Quant analysis'!$BU7,Outcomes!$Q:$Q,BZ$1)+COUNTIFS(Outcomes!$W:$W,'Quant analysis'!$BU7,Outcomes!$Q:$Q,BZ$1)+COUNTIFS(Outcomes!$X:$X,'Quant analysis'!$BU7,Outcomes!$Q:$Q,BZ$1)+COUNTIFS(Outcomes!$Y:$Y,'Quant analysis'!$BU7,Outcomes!$Q:$Q,BZ$1)</f>
        <v>0</v>
      </c>
      <c r="CA7" s="19">
        <f>COUNTIFS(Outcomes!$U:$U,'Quant analysis'!$BU7,Outcomes!$Q:$Q,CA$1)+COUNTIFS(Outcomes!$V:$V,'Quant analysis'!$BU7,Outcomes!$Q:$Q,CA$1)+COUNTIFS(Outcomes!$W:$W,'Quant analysis'!$BU7,Outcomes!$Q:$Q,CA$1)+COUNTIFS(Outcomes!$X:$X,'Quant analysis'!$BU7,Outcomes!$Q:$Q,CA$1)+COUNTIFS(Outcomes!$Y:$Y,'Quant analysis'!$BU7,Outcomes!$Q:$Q,CA$1)</f>
        <v>0</v>
      </c>
      <c r="CB7" s="105">
        <f>COUNTIFS(Outcomes!$U:$U,'Quant analysis'!$BU7,Outcomes!$Q:$Q,CB$1)+COUNTIFS(Outcomes!$V:$V,'Quant analysis'!$BU7,Outcomes!$Q:$Q,CB$1)+COUNTIFS(Outcomes!$W:$W,'Quant analysis'!$BU7,Outcomes!$Q:$Q,CB$1)+COUNTIFS(Outcomes!$X:$X,'Quant analysis'!$BU7,Outcomes!$Q:$Q,CB$1)+COUNTIFS(Outcomes!$Y:$Y,'Quant analysis'!$BU7,Outcomes!$Q:$Q,CB$1)</f>
        <v>0</v>
      </c>
      <c r="CC7" s="105">
        <f>COUNTIFS(Outcomes!$U:$U,'Quant analysis'!$BU7,Outcomes!$Q:$Q,CC$1)+COUNTIFS(Outcomes!$V:$V,'Quant analysis'!$BU7,Outcomes!$Q:$Q,CC$1)+COUNTIFS(Outcomes!$W:$W,'Quant analysis'!$BU7,Outcomes!$Q:$Q,CC$1)+COUNTIFS(Outcomes!$X:$X,'Quant analysis'!$BU7,Outcomes!$Q:$Q,CC$1)+COUNTIFS(Outcomes!$Y:$Y,'Quant analysis'!$BU7,Outcomes!$Q:$Q,CC$1)</f>
        <v>0</v>
      </c>
      <c r="CD7" s="105">
        <f>COUNTIFS(Outcomes!$U:$U,'Quant analysis'!$BU7,Outcomes!$Q:$Q,CD$1)+COUNTIFS(Outcomes!$V:$V,'Quant analysis'!$BU7,Outcomes!$Q:$Q,CD$1)+COUNTIFS(Outcomes!$W:$W,'Quant analysis'!$BU7,Outcomes!$Q:$Q,CD$1)+COUNTIFS(Outcomes!$X:$X,'Quant analysis'!$BU7,Outcomes!$Q:$Q,CD$1)+COUNTIFS(Outcomes!$Y:$Y,'Quant analysis'!$BU7,Outcomes!$Q:$Q,CD$1)</f>
        <v>0</v>
      </c>
      <c r="CE7" s="105">
        <f>COUNTIFS(Outcomes!$U:$U,'Quant analysis'!$BU7,Outcomes!$Q:$Q,CE$1)+COUNTIFS(Outcomes!$V:$V,'Quant analysis'!$BU7,Outcomes!$Q:$Q,CE$1)+COUNTIFS(Outcomes!$W:$W,'Quant analysis'!$BU7,Outcomes!$Q:$Q,CE$1)+COUNTIFS(Outcomes!$X:$X,'Quant analysis'!$BU7,Outcomes!$Q:$Q,CE$1)+COUNTIFS(Outcomes!$Y:$Y,'Quant analysis'!$BU7,Outcomes!$Q:$Q,CE$1)</f>
        <v>0</v>
      </c>
      <c r="CF7" s="129">
        <f t="shared" si="4"/>
        <v>0</v>
      </c>
      <c r="CG7" s="130"/>
      <c r="CH7" s="130"/>
      <c r="CI7" s="130"/>
      <c r="CJ7" s="130"/>
      <c r="CK7" s="130"/>
      <c r="CL7" s="130"/>
      <c r="CM7" s="130"/>
      <c r="CN7" s="130"/>
      <c r="CO7" s="130"/>
      <c r="CP7" s="130"/>
      <c r="CQ7" s="130"/>
      <c r="CR7" s="130"/>
      <c r="CS7" s="130"/>
      <c r="CT7" s="130"/>
      <c r="CU7" s="130"/>
      <c r="CV7" s="131"/>
      <c r="CW7" s="129" t="s">
        <v>8</v>
      </c>
      <c r="CX7" s="129">
        <f>COUNTIFS(Table1[Level of influence],'Quant analysis'!CX1,Table1[The Six Conditions of Systems Change (WORK IN PROGRESS)],'Quant analysis'!CW7)</f>
        <v>0</v>
      </c>
      <c r="CY7" s="129">
        <f>COUNTIFS(Table1[Level of influence],'Quant analysis'!CY1,Table1[The Six Conditions of Systems Change (WORK IN PROGRESS)],'Quant analysis'!CW7)</f>
        <v>0</v>
      </c>
      <c r="CZ7" s="120">
        <f t="shared" si="5"/>
        <v>0</v>
      </c>
      <c r="DA7" s="129">
        <f>COUNTIFS(Table1[Level of influence],'Quant analysis'!DA1,Table1[The Six Conditions of Systems Change (WORK IN PROGRESS)],'Quant analysis'!CW7)</f>
        <v>0</v>
      </c>
      <c r="DB7" s="129">
        <f>COUNTIFS(Table1[Level of influence],'Quant analysis'!DB1,Table1[The Six Conditions of Systems Change (WORK IN PROGRESS)],'Quant analysis'!CW7)</f>
        <v>0</v>
      </c>
      <c r="DC7" s="69">
        <f t="shared" si="6"/>
        <v>0</v>
      </c>
      <c r="DD7" s="130"/>
      <c r="DE7" s="130"/>
      <c r="DF7" s="130"/>
      <c r="DG7" s="130"/>
      <c r="DH7" s="129"/>
      <c r="DI7" s="129" t="s">
        <v>166</v>
      </c>
      <c r="DJ7" s="68">
        <f t="shared" si="7"/>
        <v>0</v>
      </c>
      <c r="DK7" s="19">
        <f>COUNTIFS(Table1[Level of influence],"subnational",Table1[The Six Conditions of Systems Change (WORK IN PROGRESS)],"Policies",Table1[Output contribution 1],'Quant analysis'!DI7)+COUNTIFS(Table1[Level of influence],"subnational",Table1[The Six Conditions of Systems Change (WORK IN PROGRESS)],"Policies",Table1[Output contribution 2],'Quant analysis'!DI7)+COUNTIFS(Table1[Level of influence],"subnational",Table1[The Six Conditions of Systems Change (WORK IN PROGRESS)],"Policies",Table1[Output contribution 3],'Quant analysis'!DI7)+COUNTIFS(Table1[Level of influence],"subnational",Table1[The Six Conditions of Systems Change (WORK IN PROGRESS)],"Policies",Table1[Output contribution 4],'Quant analysis'!DI7)+COUNTIFS(Table1[Level of influence],"subnational",Table1[The Six Conditions of Systems Change (WORK IN PROGRESS)],"Policies",Table1[Output contribution 5],'Quant analysis'!DI7)+COUNTIFS(Table1[Level of influence],"national",Table1[The Six Conditions of Systems Change (WORK IN PROGRESS)],"Policies",Table1[Output contribution 1],'Quant analysis'!DI7)+COUNTIFS(Table1[Level of influence],"national",Table1[The Six Conditions of Systems Change (WORK IN PROGRESS)],"Policies",Table1[Output contribution 2],'Quant analysis'!DI7)+COUNTIFS(Table1[Level of influence],"national",Table1[The Six Conditions of Systems Change (WORK IN PROGRESS)],"Policies",Table1[Output contribution 3],'Quant analysis'!DI7)+COUNTIFS(Table1[Level of influence],"national",Table1[The Six Conditions of Systems Change (WORK IN PROGRESS)],"Policies",Table1[Output contribution 4],'Quant analysis'!DI7)+COUNTIFS(Table1[Level of influence],"national",Table1[The Six Conditions of Systems Change (WORK IN PROGRESS)],"Policies",Table1[Output contribution 5],'Quant analysis'!DI7)</f>
        <v>0</v>
      </c>
      <c r="DL7" s="19">
        <f>COUNTIFS(Table1[Level of influence],"subnational",Table1[The Six Conditions of Systems Change (WORK IN PROGRESS)],"Practices",Table1[Output contribution 1],'Quant analysis'!$DI7)+COUNTIFS(Table1[Level of influence],"subnational",Table1[The Six Conditions of Systems Change (WORK IN PROGRESS)],"Practices",Table1[Output contribution 2],'Quant analysis'!$DI7)+COUNTIFS(Table1[Level of influence],"subnational",Table1[The Six Conditions of Systems Change (WORK IN PROGRESS)],"Practices",Table1[Output contribution 3],'Quant analysis'!$DI7)+COUNTIFS(Table1[Level of influence],"subnational",Table1[The Six Conditions of Systems Change (WORK IN PROGRESS)],"Practices",Table1[Output contribution 4],'Quant analysis'!$DI7)+COUNTIFS(Table1[Level of influence],"subnational",Table1[The Six Conditions of Systems Change (WORK IN PROGRESS)],"Practices",Table1[Output contribution 5],'Quant analysis'!$DI7)+COUNTIFS(Table1[Level of influence],"national",Table1[The Six Conditions of Systems Change (WORK IN PROGRESS)],"Practices",Table1[Output contribution 1],'Quant analysis'!$DI7)+COUNTIFS(Table1[Level of influence],"national",Table1[The Six Conditions of Systems Change (WORK IN PROGRESS)],"Practices",Table1[Output contribution 2],'Quant analysis'!$DI7)+COUNTIFS(Table1[Level of influence],"national",Table1[The Six Conditions of Systems Change (WORK IN PROGRESS)],"Practices",Table1[Output contribution 3],'Quant analysis'!$DI7)+COUNTIFS(Table1[Level of influence],"national",Table1[The Six Conditions of Systems Change (WORK IN PROGRESS)],"Practices",Table1[Output contribution 4],'Quant analysis'!$DI7)+COUNTIFS(Table1[Level of influence],"national",Table1[The Six Conditions of Systems Change (WORK IN PROGRESS)],"Practices",Table1[Output contribution 5],'Quant analysis'!$DI7)</f>
        <v>0</v>
      </c>
      <c r="DM7" s="19">
        <f>COUNTIFS(Table1[Level of influence],"subnational",Table1[The Six Conditions of Systems Change (WORK IN PROGRESS)],DM$1,Table1[Output contribution 1],'Quant analysis'!$DI7)+COUNTIFS(Table1[Level of influence],"subnational",Table1[The Six Conditions of Systems Change (WORK IN PROGRESS)],DM$1,Table1[Output contribution 2],'Quant analysis'!$DI7)+COUNTIFS(Table1[Level of influence],"subnational",Table1[The Six Conditions of Systems Change (WORK IN PROGRESS)],DM$1,Table1[Output contribution 3],'Quant analysis'!$DI7)+COUNTIFS(Table1[Level of influence],"subnational",Table1[The Six Conditions of Systems Change (WORK IN PROGRESS)],DM$1,Table1[Output contribution 4],'Quant analysis'!$DI7)+COUNTIFS(Table1[Level of influence],"subnational",Table1[The Six Conditions of Systems Change (WORK IN PROGRESS)],DM$1,Table1[Output contribution 5],'Quant analysis'!$DI7)+COUNTIFS(Table1[Level of influence],"national",Table1[The Six Conditions of Systems Change (WORK IN PROGRESS)],DM$1,Table1[Output contribution 1],'Quant analysis'!$DI7)+COUNTIFS(Table1[Level of influence],"national",Table1[The Six Conditions of Systems Change (WORK IN PROGRESS)],DM$1,Table1[Output contribution 2],'Quant analysis'!$DI7)+COUNTIFS(Table1[Level of influence],"national",Table1[The Six Conditions of Systems Change (WORK IN PROGRESS)],DM$1,Table1[Output contribution 3],'Quant analysis'!$DI7)+COUNTIFS(Table1[Level of influence],"national",Table1[The Six Conditions of Systems Change (WORK IN PROGRESS)],DM$1,Table1[Output contribution 4],'Quant analysis'!$DI7)+COUNTIFS(Table1[Level of influence],"national",Table1[The Six Conditions of Systems Change (WORK IN PROGRESS)],DM$1,Table1[Output contribution 5],'Quant analysis'!$DI7)</f>
        <v>0</v>
      </c>
      <c r="DN7" s="19">
        <f>COUNTIFS(Table1[Level of influence],"subnational",Table1[The Six Conditions of Systems Change (WORK IN PROGRESS)],DN$1,Table1[Output contribution 1],'Quant analysis'!$DI7)+COUNTIFS(Table1[Level of influence],"subnational",Table1[The Six Conditions of Systems Change (WORK IN PROGRESS)],DN$1,Table1[Output contribution 2],'Quant analysis'!$DI7)+COUNTIFS(Table1[Level of influence],"subnational",Table1[The Six Conditions of Systems Change (WORK IN PROGRESS)],DN$1,Table1[Output contribution 3],'Quant analysis'!$DI7)+COUNTIFS(Table1[Level of influence],"subnational",Table1[The Six Conditions of Systems Change (WORK IN PROGRESS)],DN$1,Table1[Output contribution 4],'Quant analysis'!$DI7)+COUNTIFS(Table1[Level of influence],"subnational",Table1[The Six Conditions of Systems Change (WORK IN PROGRESS)],DN$1,Table1[Output contribution 5],'Quant analysis'!$DI7)+COUNTIFS(Table1[Level of influence],"national",Table1[The Six Conditions of Systems Change (WORK IN PROGRESS)],DN$1,Table1[Output contribution 1],'Quant analysis'!$DI7)+COUNTIFS(Table1[Level of influence],"national",Table1[The Six Conditions of Systems Change (WORK IN PROGRESS)],DN$1,Table1[Output contribution 2],'Quant analysis'!$DI7)+COUNTIFS(Table1[Level of influence],"national",Table1[The Six Conditions of Systems Change (WORK IN PROGRESS)],DN$1,Table1[Output contribution 3],'Quant analysis'!$DI7)+COUNTIFS(Table1[Level of influence],"national",Table1[The Six Conditions of Systems Change (WORK IN PROGRESS)],DN$1,Table1[Output contribution 4],'Quant analysis'!$DI7)+COUNTIFS(Table1[Level of influence],"national",Table1[The Six Conditions of Systems Change (WORK IN PROGRESS)],DN$1,Table1[Output contribution 5],'Quant analysis'!$DI7)</f>
        <v>0</v>
      </c>
      <c r="DO7" s="19">
        <f>COUNTIFS(Table1[Level of influence],"subnational",Table1[The Six Conditions of Systems Change (WORK IN PROGRESS)],DO$1,Table1[Output contribution 1],'Quant analysis'!$DI7)+COUNTIFS(Table1[Level of influence],"subnational",Table1[The Six Conditions of Systems Change (WORK IN PROGRESS)],DO$1,Table1[Output contribution 2],'Quant analysis'!$DI7)+COUNTIFS(Table1[Level of influence],"subnational",Table1[The Six Conditions of Systems Change (WORK IN PROGRESS)],DO$1,Table1[Output contribution 3],'Quant analysis'!$DI7)+COUNTIFS(Table1[Level of influence],"subnational",Table1[The Six Conditions of Systems Change (WORK IN PROGRESS)],DO$1,Table1[Output contribution 4],'Quant analysis'!$DI7)+COUNTIFS(Table1[Level of influence],"subnational",Table1[The Six Conditions of Systems Change (WORK IN PROGRESS)],DO$1,Table1[Output contribution 5],'Quant analysis'!$DI7)+COUNTIFS(Table1[Level of influence],"national",Table1[The Six Conditions of Systems Change (WORK IN PROGRESS)],DO$1,Table1[Output contribution 1],'Quant analysis'!$DI7)+COUNTIFS(Table1[Level of influence],"national",Table1[The Six Conditions of Systems Change (WORK IN PROGRESS)],DO$1,Table1[Output contribution 2],'Quant analysis'!$DI7)+COUNTIFS(Table1[Level of influence],"national",Table1[The Six Conditions of Systems Change (WORK IN PROGRESS)],DO$1,Table1[Output contribution 3],'Quant analysis'!$DI7)+COUNTIFS(Table1[Level of influence],"national",Table1[The Six Conditions of Systems Change (WORK IN PROGRESS)],DO$1,Table1[Output contribution 4],'Quant analysis'!$DI7)+COUNTIFS(Table1[Level of influence],"national",Table1[The Six Conditions of Systems Change (WORK IN PROGRESS)],DO$1,Table1[Output contribution 5],'Quant analysis'!$DI7)</f>
        <v>0</v>
      </c>
      <c r="DP7" s="19">
        <f>COUNTIFS(Table1[Level of influence],"subnational",Table1[The Six Conditions of Systems Change (WORK IN PROGRESS)],DP$1,Table1[Output contribution 1],'Quant analysis'!$DI7)+COUNTIFS(Table1[Level of influence],"subnational",Table1[The Six Conditions of Systems Change (WORK IN PROGRESS)],DP$1,Table1[Output contribution 2],'Quant analysis'!$DI7)+COUNTIFS(Table1[Level of influence],"subnational",Table1[The Six Conditions of Systems Change (WORK IN PROGRESS)],DP$1,Table1[Output contribution 3],'Quant analysis'!$DI7)+COUNTIFS(Table1[Level of influence],"subnational",Table1[The Six Conditions of Systems Change (WORK IN PROGRESS)],DP$1,Table1[Output contribution 4],'Quant analysis'!$DI7)+COUNTIFS(Table1[Level of influence],"subnational",Table1[The Six Conditions of Systems Change (WORK IN PROGRESS)],DP$1,Table1[Output contribution 5],'Quant analysis'!$DI7)+COUNTIFS(Table1[Level of influence],"national",Table1[The Six Conditions of Systems Change (WORK IN PROGRESS)],DP$1,Table1[Output contribution 1],'Quant analysis'!$DI7)+COUNTIFS(Table1[Level of influence],"national",Table1[The Six Conditions of Systems Change (WORK IN PROGRESS)],DP$1,Table1[Output contribution 2],'Quant analysis'!$DI7)+COUNTIFS(Table1[Level of influence],"national",Table1[The Six Conditions of Systems Change (WORK IN PROGRESS)],DP$1,Table1[Output contribution 3],'Quant analysis'!$DI7)+COUNTIFS(Table1[Level of influence],"national",Table1[The Six Conditions of Systems Change (WORK IN PROGRESS)],DP$1,Table1[Output contribution 4],'Quant analysis'!$DI7)+COUNTIFS(Table1[Level of influence],"national",Table1[The Six Conditions of Systems Change (WORK IN PROGRESS)],DP$1,Table1[Output contribution 5],'Quant analysis'!$DI7)</f>
        <v>0</v>
      </c>
      <c r="DQ7" s="130"/>
      <c r="DR7" s="130"/>
      <c r="DS7" s="157" t="s">
        <v>247</v>
      </c>
      <c r="DT7" s="129">
        <f>COUNTIFS(Table1[The Six Conditions of Systems Change (WORK IN PROGRESS)],'Quant analysis'!DT$1,Table1[Level of influence],"subnational",Table1['# of quarters between first contribution statement ],'Quant analysis'!$DS7)+COUNTIFS(Table1[The Six Conditions of Systems Change (WORK IN PROGRESS)],'Quant analysis'!DT$1,Table1[Level of influence],"national",Table1['# of quarters between first contribution statement ],'Quant analysis'!$DS7)</f>
        <v>0</v>
      </c>
      <c r="DU7" s="129">
        <f>COUNTIFS(Table1[The Six Conditions of Systems Change (WORK IN PROGRESS)],'Quant analysis'!DU$1,Table1[Level of influence],"subnational",Table1['# of quarters between first contribution statement ],'Quant analysis'!$DS7)+COUNTIFS(Table1[The Six Conditions of Systems Change (WORK IN PROGRESS)],'Quant analysis'!DU$1,Table1[Level of influence],"national",Table1['# of quarters between first contribution statement ],'Quant analysis'!$DS7)</f>
        <v>0</v>
      </c>
      <c r="DV7" s="129">
        <f>COUNTIFS(Table1[The Six Conditions of Systems Change (WORK IN PROGRESS)],'Quant analysis'!DV$1,Table1[Level of influence],"subnational",Table1['# of quarters between first contribution statement ],'Quant analysis'!$DS7)+COUNTIFS(Table1[The Six Conditions of Systems Change (WORK IN PROGRESS)],'Quant analysis'!DV$1,Table1[Level of influence],"national",Table1['# of quarters between first contribution statement ],'Quant analysis'!$DS7)</f>
        <v>0</v>
      </c>
      <c r="DW7" s="129">
        <f>COUNTIFS(Table1[The Six Conditions of Systems Change (WORK IN PROGRESS)],'Quant analysis'!DW$1,Table1[Level of influence],"subnational",Table1['# of quarters between first contribution statement ],'Quant analysis'!$DS7)+COUNTIFS(Table1[The Six Conditions of Systems Change (WORK IN PROGRESS)],'Quant analysis'!DW$1,Table1[Level of influence],"national",Table1['# of quarters between first contribution statement ],'Quant analysis'!$DS7)</f>
        <v>0</v>
      </c>
      <c r="DX7" s="129">
        <f>COUNTIFS(Table1[The Six Conditions of Systems Change (WORK IN PROGRESS)],'Quant analysis'!DX$1,Table1[Level of influence],"subnational",Table1['# of quarters between first contribution statement ],'Quant analysis'!$DS7)+COUNTIFS(Table1[The Six Conditions of Systems Change (WORK IN PROGRESS)],'Quant analysis'!DX$1,Table1[Level of influence],"national",Table1['# of quarters between first contribution statement ],'Quant analysis'!$DS7)</f>
        <v>0</v>
      </c>
      <c r="DY7" s="129">
        <f>COUNTIFS(Table1[The Six Conditions of Systems Change (WORK IN PROGRESS)],'Quant analysis'!DY$1,Table1[Level of influence],"subnational",Table1['# of quarters between first contribution statement ],'Quant analysis'!$DS7)+COUNTIFS(Table1[The Six Conditions of Systems Change (WORK IN PROGRESS)],'Quant analysis'!DY$1,Table1[Level of influence],"national",Table1['# of quarters between first contribution statement ],'Quant analysis'!$DS7)</f>
        <v>0</v>
      </c>
      <c r="DZ7" s="129"/>
      <c r="EA7" s="130"/>
      <c r="EB7" s="129" t="s">
        <v>8</v>
      </c>
      <c r="EC7" s="129">
        <f>COUNTIFS(Table1[Country/ Region/ Global],'Quant analysis'!$EC$1,Table1[The Six Conditions of Systems Change (WORK IN PROGRESS)],'Quant analysis'!EB7)</f>
        <v>0</v>
      </c>
      <c r="ED7" s="129"/>
      <c r="EE7" s="120"/>
      <c r="EF7" s="129"/>
      <c r="EG7" s="129"/>
      <c r="EH7" s="69"/>
      <c r="EI7" s="130"/>
      <c r="EJ7" s="130"/>
      <c r="EK7" s="130"/>
      <c r="EL7" s="130"/>
      <c r="EM7" s="129" t="s">
        <v>8</v>
      </c>
      <c r="EN7" s="129">
        <f>COUNTIFS(Table1[Country/ Region/ Global],'Quant analysis'!$EN$1,Table1[The Six Conditions of Systems Change (WORK IN PROGRESS)],'Quant analysis'!EM7)</f>
        <v>0</v>
      </c>
      <c r="EO7" s="129"/>
      <c r="EP7" s="120"/>
      <c r="EQ7" s="129"/>
      <c r="ER7" s="129"/>
      <c r="ES7" s="69"/>
      <c r="ET7" s="130"/>
      <c r="EU7" s="130"/>
      <c r="EV7" s="130"/>
      <c r="EW7" s="129" t="s">
        <v>8</v>
      </c>
      <c r="EX7" s="129">
        <f>COUNTIFS(Table1[Country/ Region/ Global],'Quant analysis'!$EX$1,Table1[The Six Conditions of Systems Change (WORK IN PROGRESS)],'Quant analysis'!EW7)</f>
        <v>0</v>
      </c>
      <c r="EY7" s="129"/>
      <c r="EZ7" s="120"/>
      <c r="FA7" s="129"/>
      <c r="FB7" s="129"/>
      <c r="FC7" s="69"/>
      <c r="FD7" s="130"/>
      <c r="FE7" s="130"/>
    </row>
    <row r="8" spans="1:161" x14ac:dyDescent="0.2">
      <c r="A8" s="130"/>
      <c r="B8" s="16">
        <f>SUM(B2:B7)</f>
        <v>0</v>
      </c>
      <c r="C8" s="130"/>
      <c r="D8" s="130"/>
      <c r="E8" s="130"/>
      <c r="F8" s="130"/>
      <c r="G8" s="130"/>
      <c r="H8" s="130"/>
      <c r="I8" s="130"/>
      <c r="J8" s="130"/>
      <c r="K8" s="130"/>
      <c r="L8" s="130"/>
      <c r="M8" s="130"/>
      <c r="N8" s="130"/>
      <c r="O8" s="130"/>
      <c r="P8" s="130"/>
      <c r="Q8" s="130"/>
      <c r="R8" s="130"/>
      <c r="S8" s="130" t="s">
        <v>241</v>
      </c>
      <c r="T8" s="129" t="s">
        <v>105</v>
      </c>
      <c r="U8" s="129">
        <f>COUNTIF(Outcomes!$L:$L,'Quant analysis'!$T8)</f>
        <v>0</v>
      </c>
      <c r="V8" s="19">
        <f>COUNTIFS(Outcomes!$L:$L,'Quant analysis'!$T8,Outcomes!$Q:$Q,V$1)</f>
        <v>0</v>
      </c>
      <c r="W8" s="19">
        <f>COUNTIFS(Outcomes!$L:$L,'Quant analysis'!$T8,Outcomes!$Q:$Q,W$1)</f>
        <v>0</v>
      </c>
      <c r="X8" s="19">
        <f>COUNTIFS(Outcomes!$L:$L,'Quant analysis'!$T8,Outcomes!$Q:$Q,X$1)</f>
        <v>0</v>
      </c>
      <c r="Y8" s="19">
        <f>COUNTIFS(Outcomes!$L:$L,'Quant analysis'!$T8,Outcomes!$Q:$Q,Y$1)</f>
        <v>0</v>
      </c>
      <c r="Z8" s="19">
        <f>COUNTIFS(Outcomes!$L:$L,'Quant analysis'!$T8,Outcomes!$Q:$Q,Z$1)</f>
        <v>0</v>
      </c>
      <c r="AA8" s="105">
        <f>COUNTIFS(Outcomes!$L:$L,'Quant analysis'!$T8,Outcomes!$Q:$Q,AA$1)</f>
        <v>0</v>
      </c>
      <c r="AB8" s="105">
        <f>COUNTIFS(Outcomes!$L:$L,'Quant analysis'!$T8,Outcomes!$Q:$Q,AB$1)</f>
        <v>0</v>
      </c>
      <c r="AC8" s="105">
        <f>COUNTIFS(Outcomes!$L:$L,'Quant analysis'!$T8,Outcomes!$Q:$Q,AC$1)</f>
        <v>0</v>
      </c>
      <c r="AD8" s="105">
        <f>COUNTIFS(Outcomes!$L:$L,'Quant analysis'!$T8,Outcomes!$Q:$Q,AD$1)</f>
        <v>0</v>
      </c>
      <c r="AE8" s="130">
        <f t="shared" si="0"/>
        <v>0</v>
      </c>
      <c r="AF8" s="130"/>
      <c r="AG8" s="15" t="s">
        <v>155</v>
      </c>
      <c r="AH8" s="129">
        <f>COUNTIF(Outcomes!O:O,'Quant analysis'!AG8)</f>
        <v>0</v>
      </c>
      <c r="AI8" s="19">
        <f>COUNTIFS(Outcomes!$O:$O,'Quant analysis'!$AG8,Outcomes!$Q:$Q,AI$1)</f>
        <v>0</v>
      </c>
      <c r="AJ8" s="19">
        <f>COUNTIFS(Outcomes!$O:$O,'Quant analysis'!$AG8,Outcomes!$Q:$Q,AJ$1)</f>
        <v>0</v>
      </c>
      <c r="AK8" s="19">
        <f>COUNTIFS(Outcomes!$O:$O,'Quant analysis'!$AG8,Outcomes!$Q:$Q,AK$1)</f>
        <v>0</v>
      </c>
      <c r="AL8" s="19">
        <f>COUNTIFS(Outcomes!$O:$O,'Quant analysis'!$AG8,Outcomes!$Q:$Q,AL$1)</f>
        <v>0</v>
      </c>
      <c r="AM8" s="19">
        <f>COUNTIFS(Outcomes!$O:$O,'Quant analysis'!$AG8,Outcomes!$Q:$Q,AM$1)</f>
        <v>0</v>
      </c>
      <c r="AN8" s="105">
        <f>COUNTIFS(Outcomes!$O:$O,'Quant analysis'!$AG8,Outcomes!$Q:$Q,AN$1)</f>
        <v>0</v>
      </c>
      <c r="AO8" s="105">
        <f>COUNTIFS(Outcomes!$O:$O,'Quant analysis'!$AG8,Outcomes!$Q:$Q,AO$1)</f>
        <v>0</v>
      </c>
      <c r="AP8" s="105">
        <f>COUNTIFS(Outcomes!$O:$O,'Quant analysis'!$AG8,Outcomes!$Q:$Q,AP$1)</f>
        <v>0</v>
      </c>
      <c r="AQ8" s="105">
        <f>COUNTIFS(Outcomes!$O:$O,'Quant analysis'!$AG8,Outcomes!$Q:$Q,AQ$1)</f>
        <v>0</v>
      </c>
      <c r="AR8" s="130">
        <f t="shared" si="1"/>
        <v>0</v>
      </c>
      <c r="AS8" s="130"/>
      <c r="AT8" s="129" t="s">
        <v>112</v>
      </c>
      <c r="AU8" s="129">
        <f>COUNTIF(Outcomes!P:P,'Quant analysis'!AT8)</f>
        <v>0</v>
      </c>
      <c r="AV8" s="19">
        <f>COUNTIFS(Outcomes!$P:$P,'Quant analysis'!$AT8,Outcomes!$Q:$Q,AV$1)</f>
        <v>0</v>
      </c>
      <c r="AW8" s="19">
        <f>COUNTIFS(Outcomes!$P:$P,'Quant analysis'!$AT8,Outcomes!$Q:$Q,AW$1)</f>
        <v>0</v>
      </c>
      <c r="AX8" s="19">
        <f>COUNTIFS(Outcomes!$P:$P,'Quant analysis'!$AT8,Outcomes!$Q:$Q,AX$1)</f>
        <v>0</v>
      </c>
      <c r="AY8" s="19">
        <f>COUNTIFS(Outcomes!$P:$P,'Quant analysis'!$AT8,Outcomes!$Q:$Q,AY$1)</f>
        <v>0</v>
      </c>
      <c r="AZ8" s="19">
        <f>COUNTIFS(Outcomes!$P:$P,'Quant analysis'!$AT8,Outcomes!$Q:$Q,AZ$1)</f>
        <v>0</v>
      </c>
      <c r="BA8" s="105">
        <f>COUNTIFS(Outcomes!$P:$P,'Quant analysis'!$AT8,Outcomes!$Q:$Q,BA$1)</f>
        <v>0</v>
      </c>
      <c r="BB8" s="105">
        <f>COUNTIFS(Outcomes!$P:$P,'Quant analysis'!$AT8,Outcomes!$Q:$Q,BB$1)</f>
        <v>0</v>
      </c>
      <c r="BC8" s="105">
        <f>COUNTIFS(Outcomes!$P:$P,'Quant analysis'!$AT8,Outcomes!$Q:$Q,BC$1)</f>
        <v>0</v>
      </c>
      <c r="BD8" s="105">
        <f>COUNTIFS(Outcomes!$P:$P,'Quant analysis'!$AT8,Outcomes!$Q:$Q,BD$1)</f>
        <v>0</v>
      </c>
      <c r="BE8" s="20">
        <f t="shared" si="2"/>
        <v>0</v>
      </c>
      <c r="BF8" s="130"/>
      <c r="BG8" s="27" t="s">
        <v>248</v>
      </c>
      <c r="BH8" s="130"/>
      <c r="BI8" s="130"/>
      <c r="BJ8" s="130"/>
      <c r="BK8" s="130"/>
      <c r="BL8" s="130"/>
      <c r="BM8" s="130"/>
      <c r="BN8" s="130"/>
      <c r="BO8" s="130"/>
      <c r="BP8" s="130"/>
      <c r="BQ8" s="130">
        <f>SUM(BI7:BQ7)</f>
        <v>0</v>
      </c>
      <c r="BR8" s="130"/>
      <c r="BS8" s="16"/>
      <c r="BT8" s="129"/>
      <c r="BU8" s="129" t="s">
        <v>126</v>
      </c>
      <c r="BV8" s="68">
        <f>COUNTIF(Outcomes!U:Y,'Quant analysis'!BU8)</f>
        <v>0</v>
      </c>
      <c r="BW8" s="19">
        <f>COUNTIFS(Outcomes!$U:$U,'Quant analysis'!$BU8,Outcomes!$Q:$Q,BW$1)+COUNTIFS(Outcomes!$V:$V,'Quant analysis'!$BU8,Outcomes!$Q:$Q,BW$1)+COUNTIFS(Outcomes!$W:$W,'Quant analysis'!$BU8,Outcomes!$Q:$Q,BW$1)+COUNTIFS(Outcomes!$X:$X,'Quant analysis'!$BU8,Outcomes!$Q:$Q,BW$1)+COUNTIFS(Outcomes!$Y:$Y,'Quant analysis'!$BU8,Outcomes!$Q:$Q,BW$1)</f>
        <v>0</v>
      </c>
      <c r="BX8" s="19">
        <f>COUNTIFS(Outcomes!$U:$U,'Quant analysis'!$BU8,Outcomes!$Q:$Q,BX$1)+COUNTIFS(Outcomes!$V:$V,'Quant analysis'!$BU8,Outcomes!$Q:$Q,BX$1)+COUNTIFS(Outcomes!$W:$W,'Quant analysis'!$BU8,Outcomes!$Q:$Q,BX$1)+COUNTIFS(Outcomes!$X:$X,'Quant analysis'!$BU8,Outcomes!$Q:$Q,BX$1)+COUNTIFS(Outcomes!$Y:$Y,'Quant analysis'!$BU8,Outcomes!$Q:$Q,BX$1)</f>
        <v>0</v>
      </c>
      <c r="BY8" s="19">
        <f>COUNTIFS(Outcomes!$U:$U,'Quant analysis'!$BU8,Outcomes!$Q:$Q,BY$1)+COUNTIFS(Outcomes!$V:$V,'Quant analysis'!$BU8,Outcomes!$Q:$Q,BY$1)+COUNTIFS(Outcomes!$W:$W,'Quant analysis'!$BU8,Outcomes!$Q:$Q,BY$1)+COUNTIFS(Outcomes!$X:$X,'Quant analysis'!$BU8,Outcomes!$Q:$Q,BY$1)+COUNTIFS(Outcomes!$Y:$Y,'Quant analysis'!$BU8,Outcomes!$Q:$Q,BY$1)</f>
        <v>0</v>
      </c>
      <c r="BZ8" s="19">
        <f>COUNTIFS(Outcomes!$U:$U,'Quant analysis'!$BU8,Outcomes!$Q:$Q,BZ$1)+COUNTIFS(Outcomes!$V:$V,'Quant analysis'!$BU8,Outcomes!$Q:$Q,BZ$1)+COUNTIFS(Outcomes!$W:$W,'Quant analysis'!$BU8,Outcomes!$Q:$Q,BZ$1)+COUNTIFS(Outcomes!$X:$X,'Quant analysis'!$BU8,Outcomes!$Q:$Q,BZ$1)+COUNTIFS(Outcomes!$Y:$Y,'Quant analysis'!$BU8,Outcomes!$Q:$Q,BZ$1)</f>
        <v>0</v>
      </c>
      <c r="CA8" s="19">
        <f>COUNTIFS(Outcomes!$U:$U,'Quant analysis'!$BU8,Outcomes!$Q:$Q,CA$1)+COUNTIFS(Outcomes!$V:$V,'Quant analysis'!$BU8,Outcomes!$Q:$Q,CA$1)+COUNTIFS(Outcomes!$W:$W,'Quant analysis'!$BU8,Outcomes!$Q:$Q,CA$1)+COUNTIFS(Outcomes!$X:$X,'Quant analysis'!$BU8,Outcomes!$Q:$Q,CA$1)+COUNTIFS(Outcomes!$Y:$Y,'Quant analysis'!$BU8,Outcomes!$Q:$Q,CA$1)</f>
        <v>0</v>
      </c>
      <c r="CB8" s="105">
        <f>COUNTIFS(Outcomes!$U:$U,'Quant analysis'!$BU8,Outcomes!$Q:$Q,CB$1)+COUNTIFS(Outcomes!$V:$V,'Quant analysis'!$BU8,Outcomes!$Q:$Q,CB$1)+COUNTIFS(Outcomes!$W:$W,'Quant analysis'!$BU8,Outcomes!$Q:$Q,CB$1)+COUNTIFS(Outcomes!$X:$X,'Quant analysis'!$BU8,Outcomes!$Q:$Q,CB$1)+COUNTIFS(Outcomes!$Y:$Y,'Quant analysis'!$BU8,Outcomes!$Q:$Q,CB$1)</f>
        <v>0</v>
      </c>
      <c r="CC8" s="105">
        <f>COUNTIFS(Outcomes!$U:$U,'Quant analysis'!$BU8,Outcomes!$Q:$Q,CC$1)+COUNTIFS(Outcomes!$V:$V,'Quant analysis'!$BU8,Outcomes!$Q:$Q,CC$1)+COUNTIFS(Outcomes!$W:$W,'Quant analysis'!$BU8,Outcomes!$Q:$Q,CC$1)+COUNTIFS(Outcomes!$X:$X,'Quant analysis'!$BU8,Outcomes!$Q:$Q,CC$1)+COUNTIFS(Outcomes!$Y:$Y,'Quant analysis'!$BU8,Outcomes!$Q:$Q,CC$1)</f>
        <v>0</v>
      </c>
      <c r="CD8" s="105">
        <f>COUNTIFS(Outcomes!$U:$U,'Quant analysis'!$BU8,Outcomes!$Q:$Q,CD$1)+COUNTIFS(Outcomes!$V:$V,'Quant analysis'!$BU8,Outcomes!$Q:$Q,CD$1)+COUNTIFS(Outcomes!$W:$W,'Quant analysis'!$BU8,Outcomes!$Q:$Q,CD$1)+COUNTIFS(Outcomes!$X:$X,'Quant analysis'!$BU8,Outcomes!$Q:$Q,CD$1)+COUNTIFS(Outcomes!$Y:$Y,'Quant analysis'!$BU8,Outcomes!$Q:$Q,CD$1)</f>
        <v>0</v>
      </c>
      <c r="CE8" s="105">
        <f>COUNTIFS(Outcomes!$U:$U,'Quant analysis'!$BU8,Outcomes!$Q:$Q,CE$1)+COUNTIFS(Outcomes!$V:$V,'Quant analysis'!$BU8,Outcomes!$Q:$Q,CE$1)+COUNTIFS(Outcomes!$W:$W,'Quant analysis'!$BU8,Outcomes!$Q:$Q,CE$1)+COUNTIFS(Outcomes!$X:$X,'Quant analysis'!$BU8,Outcomes!$Q:$Q,CE$1)+COUNTIFS(Outcomes!$Y:$Y,'Quant analysis'!$BU8,Outcomes!$Q:$Q,CE$1)</f>
        <v>0</v>
      </c>
      <c r="CF8" s="129">
        <f t="shared" si="4"/>
        <v>0</v>
      </c>
      <c r="CG8" s="130"/>
      <c r="CH8" s="130"/>
      <c r="CI8" s="130"/>
      <c r="CJ8" s="130"/>
      <c r="CK8" s="130"/>
      <c r="CL8" s="130"/>
      <c r="CM8" s="130"/>
      <c r="CN8" s="130"/>
      <c r="CO8" s="130"/>
      <c r="CP8" s="130"/>
      <c r="CQ8" s="130"/>
      <c r="CR8" s="130"/>
      <c r="CS8" s="130"/>
      <c r="CT8" s="130"/>
      <c r="CU8" s="130"/>
      <c r="CV8" s="131"/>
      <c r="CW8" s="68" t="s">
        <v>233</v>
      </c>
      <c r="CX8" s="129"/>
      <c r="CY8" s="129">
        <f>SUM(CY2:CY7)</f>
        <v>0</v>
      </c>
      <c r="CZ8" s="129">
        <f>SUM(CZ2:CZ7)</f>
        <v>0</v>
      </c>
      <c r="DA8" s="129"/>
      <c r="DB8" s="129">
        <f>SUM(CX2:CX7,CY2:CY7,DA2:DA7,DB2:DB7)</f>
        <v>0</v>
      </c>
      <c r="DC8" s="130">
        <f>SUM(DC2:DC7)</f>
        <v>0</v>
      </c>
      <c r="DD8" s="130"/>
      <c r="DE8" s="130"/>
      <c r="DF8" s="130"/>
      <c r="DG8" s="130"/>
      <c r="DH8" s="129"/>
      <c r="DI8" s="129" t="s">
        <v>126</v>
      </c>
      <c r="DJ8" s="68">
        <f t="shared" si="7"/>
        <v>0</v>
      </c>
      <c r="DK8" s="19">
        <f>COUNTIFS(Table1[Level of influence],"subnational",Table1[The Six Conditions of Systems Change (WORK IN PROGRESS)],"Policies",Table1[Output contribution 1],'Quant analysis'!DI8)+COUNTIFS(Table1[Level of influence],"subnational",Table1[The Six Conditions of Systems Change (WORK IN PROGRESS)],"Policies",Table1[Output contribution 2],'Quant analysis'!DI8)+COUNTIFS(Table1[Level of influence],"subnational",Table1[The Six Conditions of Systems Change (WORK IN PROGRESS)],"Policies",Table1[Output contribution 3],'Quant analysis'!DI8)+COUNTIFS(Table1[Level of influence],"subnational",Table1[The Six Conditions of Systems Change (WORK IN PROGRESS)],"Policies",Table1[Output contribution 4],'Quant analysis'!DI8)+COUNTIFS(Table1[Level of influence],"subnational",Table1[The Six Conditions of Systems Change (WORK IN PROGRESS)],"Policies",Table1[Output contribution 5],'Quant analysis'!DI8)+COUNTIFS(Table1[Level of influence],"national",Table1[The Six Conditions of Systems Change (WORK IN PROGRESS)],"Policies",Table1[Output contribution 1],'Quant analysis'!DI8)+COUNTIFS(Table1[Level of influence],"national",Table1[The Six Conditions of Systems Change (WORK IN PROGRESS)],"Policies",Table1[Output contribution 2],'Quant analysis'!DI8)+COUNTIFS(Table1[Level of influence],"national",Table1[The Six Conditions of Systems Change (WORK IN PROGRESS)],"Policies",Table1[Output contribution 3],'Quant analysis'!DI8)+COUNTIFS(Table1[Level of influence],"national",Table1[The Six Conditions of Systems Change (WORK IN PROGRESS)],"Policies",Table1[Output contribution 4],'Quant analysis'!DI8)+COUNTIFS(Table1[Level of influence],"national",Table1[The Six Conditions of Systems Change (WORK IN PROGRESS)],"Policies",Table1[Output contribution 5],'Quant analysis'!DI8)</f>
        <v>0</v>
      </c>
      <c r="DL8" s="19">
        <f>COUNTIFS(Table1[Level of influence],"subnational",Table1[The Six Conditions of Systems Change (WORK IN PROGRESS)],"Practices",Table1[Output contribution 1],'Quant analysis'!$DI8)+COUNTIFS(Table1[Level of influence],"subnational",Table1[The Six Conditions of Systems Change (WORK IN PROGRESS)],"Practices",Table1[Output contribution 2],'Quant analysis'!$DI8)+COUNTIFS(Table1[Level of influence],"subnational",Table1[The Six Conditions of Systems Change (WORK IN PROGRESS)],"Practices",Table1[Output contribution 3],'Quant analysis'!$DI8)+COUNTIFS(Table1[Level of influence],"subnational",Table1[The Six Conditions of Systems Change (WORK IN PROGRESS)],"Practices",Table1[Output contribution 4],'Quant analysis'!$DI8)+COUNTIFS(Table1[Level of influence],"subnational",Table1[The Six Conditions of Systems Change (WORK IN PROGRESS)],"Practices",Table1[Output contribution 5],'Quant analysis'!$DI8)+COUNTIFS(Table1[Level of influence],"national",Table1[The Six Conditions of Systems Change (WORK IN PROGRESS)],"Practices",Table1[Output contribution 1],'Quant analysis'!$DI8)+COUNTIFS(Table1[Level of influence],"national",Table1[The Six Conditions of Systems Change (WORK IN PROGRESS)],"Practices",Table1[Output contribution 2],'Quant analysis'!$DI8)+COUNTIFS(Table1[Level of influence],"national",Table1[The Six Conditions of Systems Change (WORK IN PROGRESS)],"Practices",Table1[Output contribution 3],'Quant analysis'!$DI8)+COUNTIFS(Table1[Level of influence],"national",Table1[The Six Conditions of Systems Change (WORK IN PROGRESS)],"Practices",Table1[Output contribution 4],'Quant analysis'!$DI8)+COUNTIFS(Table1[Level of influence],"national",Table1[The Six Conditions of Systems Change (WORK IN PROGRESS)],"Practices",Table1[Output contribution 5],'Quant analysis'!$DI8)</f>
        <v>0</v>
      </c>
      <c r="DM8" s="19">
        <f>COUNTIFS(Table1[Level of influence],"subnational",Table1[The Six Conditions of Systems Change (WORK IN PROGRESS)],DM$1,Table1[Output contribution 1],'Quant analysis'!$DI8)+COUNTIFS(Table1[Level of influence],"subnational",Table1[The Six Conditions of Systems Change (WORK IN PROGRESS)],DM$1,Table1[Output contribution 2],'Quant analysis'!$DI8)+COUNTIFS(Table1[Level of influence],"subnational",Table1[The Six Conditions of Systems Change (WORK IN PROGRESS)],DM$1,Table1[Output contribution 3],'Quant analysis'!$DI8)+COUNTIFS(Table1[Level of influence],"subnational",Table1[The Six Conditions of Systems Change (WORK IN PROGRESS)],DM$1,Table1[Output contribution 4],'Quant analysis'!$DI8)+COUNTIFS(Table1[Level of influence],"subnational",Table1[The Six Conditions of Systems Change (WORK IN PROGRESS)],DM$1,Table1[Output contribution 5],'Quant analysis'!$DI8)+COUNTIFS(Table1[Level of influence],"national",Table1[The Six Conditions of Systems Change (WORK IN PROGRESS)],DM$1,Table1[Output contribution 1],'Quant analysis'!$DI8)+COUNTIFS(Table1[Level of influence],"national",Table1[The Six Conditions of Systems Change (WORK IN PROGRESS)],DM$1,Table1[Output contribution 2],'Quant analysis'!$DI8)+COUNTIFS(Table1[Level of influence],"national",Table1[The Six Conditions of Systems Change (WORK IN PROGRESS)],DM$1,Table1[Output contribution 3],'Quant analysis'!$DI8)+COUNTIFS(Table1[Level of influence],"national",Table1[The Six Conditions of Systems Change (WORK IN PROGRESS)],DM$1,Table1[Output contribution 4],'Quant analysis'!$DI8)+COUNTIFS(Table1[Level of influence],"national",Table1[The Six Conditions of Systems Change (WORK IN PROGRESS)],DM$1,Table1[Output contribution 5],'Quant analysis'!$DI8)</f>
        <v>0</v>
      </c>
      <c r="DN8" s="19">
        <f>COUNTIFS(Table1[Level of influence],"subnational",Table1[The Six Conditions of Systems Change (WORK IN PROGRESS)],DN$1,Table1[Output contribution 1],'Quant analysis'!$DI8)+COUNTIFS(Table1[Level of influence],"subnational",Table1[The Six Conditions of Systems Change (WORK IN PROGRESS)],DN$1,Table1[Output contribution 2],'Quant analysis'!$DI8)+COUNTIFS(Table1[Level of influence],"subnational",Table1[The Six Conditions of Systems Change (WORK IN PROGRESS)],DN$1,Table1[Output contribution 3],'Quant analysis'!$DI8)+COUNTIFS(Table1[Level of influence],"subnational",Table1[The Six Conditions of Systems Change (WORK IN PROGRESS)],DN$1,Table1[Output contribution 4],'Quant analysis'!$DI8)+COUNTIFS(Table1[Level of influence],"subnational",Table1[The Six Conditions of Systems Change (WORK IN PROGRESS)],DN$1,Table1[Output contribution 5],'Quant analysis'!$DI8)+COUNTIFS(Table1[Level of influence],"national",Table1[The Six Conditions of Systems Change (WORK IN PROGRESS)],DN$1,Table1[Output contribution 1],'Quant analysis'!$DI8)+COUNTIFS(Table1[Level of influence],"national",Table1[The Six Conditions of Systems Change (WORK IN PROGRESS)],DN$1,Table1[Output contribution 2],'Quant analysis'!$DI8)+COUNTIFS(Table1[Level of influence],"national",Table1[The Six Conditions of Systems Change (WORK IN PROGRESS)],DN$1,Table1[Output contribution 3],'Quant analysis'!$DI8)+COUNTIFS(Table1[Level of influence],"national",Table1[The Six Conditions of Systems Change (WORK IN PROGRESS)],DN$1,Table1[Output contribution 4],'Quant analysis'!$DI8)+COUNTIFS(Table1[Level of influence],"national",Table1[The Six Conditions of Systems Change (WORK IN PROGRESS)],DN$1,Table1[Output contribution 5],'Quant analysis'!$DI8)</f>
        <v>0</v>
      </c>
      <c r="DO8" s="19">
        <f>COUNTIFS(Table1[Level of influence],"subnational",Table1[The Six Conditions of Systems Change (WORK IN PROGRESS)],DO$1,Table1[Output contribution 1],'Quant analysis'!$DI8)+COUNTIFS(Table1[Level of influence],"subnational",Table1[The Six Conditions of Systems Change (WORK IN PROGRESS)],DO$1,Table1[Output contribution 2],'Quant analysis'!$DI8)+COUNTIFS(Table1[Level of influence],"subnational",Table1[The Six Conditions of Systems Change (WORK IN PROGRESS)],DO$1,Table1[Output contribution 3],'Quant analysis'!$DI8)+COUNTIFS(Table1[Level of influence],"subnational",Table1[The Six Conditions of Systems Change (WORK IN PROGRESS)],DO$1,Table1[Output contribution 4],'Quant analysis'!$DI8)+COUNTIFS(Table1[Level of influence],"subnational",Table1[The Six Conditions of Systems Change (WORK IN PROGRESS)],DO$1,Table1[Output contribution 5],'Quant analysis'!$DI8)+COUNTIFS(Table1[Level of influence],"national",Table1[The Six Conditions of Systems Change (WORK IN PROGRESS)],DO$1,Table1[Output contribution 1],'Quant analysis'!$DI8)+COUNTIFS(Table1[Level of influence],"national",Table1[The Six Conditions of Systems Change (WORK IN PROGRESS)],DO$1,Table1[Output contribution 2],'Quant analysis'!$DI8)+COUNTIFS(Table1[Level of influence],"national",Table1[The Six Conditions of Systems Change (WORK IN PROGRESS)],DO$1,Table1[Output contribution 3],'Quant analysis'!$DI8)+COUNTIFS(Table1[Level of influence],"national",Table1[The Six Conditions of Systems Change (WORK IN PROGRESS)],DO$1,Table1[Output contribution 4],'Quant analysis'!$DI8)+COUNTIFS(Table1[Level of influence],"national",Table1[The Six Conditions of Systems Change (WORK IN PROGRESS)],DO$1,Table1[Output contribution 5],'Quant analysis'!$DI8)</f>
        <v>0</v>
      </c>
      <c r="DP8" s="19">
        <f>COUNTIFS(Table1[Level of influence],"subnational",Table1[The Six Conditions of Systems Change (WORK IN PROGRESS)],DP$1,Table1[Output contribution 1],'Quant analysis'!$DI8)+COUNTIFS(Table1[Level of influence],"subnational",Table1[The Six Conditions of Systems Change (WORK IN PROGRESS)],DP$1,Table1[Output contribution 2],'Quant analysis'!$DI8)+COUNTIFS(Table1[Level of influence],"subnational",Table1[The Six Conditions of Systems Change (WORK IN PROGRESS)],DP$1,Table1[Output contribution 3],'Quant analysis'!$DI8)+COUNTIFS(Table1[Level of influence],"subnational",Table1[The Six Conditions of Systems Change (WORK IN PROGRESS)],DP$1,Table1[Output contribution 4],'Quant analysis'!$DI8)+COUNTIFS(Table1[Level of influence],"subnational",Table1[The Six Conditions of Systems Change (WORK IN PROGRESS)],DP$1,Table1[Output contribution 5],'Quant analysis'!$DI8)+COUNTIFS(Table1[Level of influence],"national",Table1[The Six Conditions of Systems Change (WORK IN PROGRESS)],DP$1,Table1[Output contribution 1],'Quant analysis'!$DI8)+COUNTIFS(Table1[Level of influence],"national",Table1[The Six Conditions of Systems Change (WORK IN PROGRESS)],DP$1,Table1[Output contribution 2],'Quant analysis'!$DI8)+COUNTIFS(Table1[Level of influence],"national",Table1[The Six Conditions of Systems Change (WORK IN PROGRESS)],DP$1,Table1[Output contribution 3],'Quant analysis'!$DI8)+COUNTIFS(Table1[Level of influence],"national",Table1[The Six Conditions of Systems Change (WORK IN PROGRESS)],DP$1,Table1[Output contribution 4],'Quant analysis'!$DI8)+COUNTIFS(Table1[Level of influence],"national",Table1[The Six Conditions of Systems Change (WORK IN PROGRESS)],DP$1,Table1[Output contribution 5],'Quant analysis'!$DI8)</f>
        <v>0</v>
      </c>
      <c r="DQ8" s="130"/>
      <c r="DR8" s="130"/>
      <c r="DS8" s="157" t="s">
        <v>249</v>
      </c>
      <c r="DT8" s="129">
        <f>COUNTIFS(Table1[The Six Conditions of Systems Change (WORK IN PROGRESS)],'Quant analysis'!DT$1,Table1[Level of influence],"subnational",Table1['# of quarters between first contribution statement ],'Quant analysis'!$DS8)+COUNTIFS(Table1[The Six Conditions of Systems Change (WORK IN PROGRESS)],'Quant analysis'!DT$1,Table1[Level of influence],"national",Table1['# of quarters between first contribution statement ],'Quant analysis'!$DS8)</f>
        <v>0</v>
      </c>
      <c r="DU8" s="129">
        <f>COUNTIFS(Table1[The Six Conditions of Systems Change (WORK IN PROGRESS)],'Quant analysis'!DU$1,Table1[Level of influence],"subnational",Table1['# of quarters between first contribution statement ],'Quant analysis'!$DS8)+COUNTIFS(Table1[The Six Conditions of Systems Change (WORK IN PROGRESS)],'Quant analysis'!DU$1,Table1[Level of influence],"national",Table1['# of quarters between first contribution statement ],'Quant analysis'!$DS8)</f>
        <v>0</v>
      </c>
      <c r="DV8" s="129">
        <f>COUNTIFS(Table1[The Six Conditions of Systems Change (WORK IN PROGRESS)],'Quant analysis'!DV$1,Table1[Level of influence],"subnational",Table1['# of quarters between first contribution statement ],'Quant analysis'!$DS8)+COUNTIFS(Table1[The Six Conditions of Systems Change (WORK IN PROGRESS)],'Quant analysis'!DV$1,Table1[Level of influence],"national",Table1['# of quarters between first contribution statement ],'Quant analysis'!$DS8)</f>
        <v>0</v>
      </c>
      <c r="DW8" s="129">
        <f>COUNTIFS(Table1[The Six Conditions of Systems Change (WORK IN PROGRESS)],'Quant analysis'!DW$1,Table1[Level of influence],"subnational",Table1['# of quarters between first contribution statement ],'Quant analysis'!$DS8)+COUNTIFS(Table1[The Six Conditions of Systems Change (WORK IN PROGRESS)],'Quant analysis'!DW$1,Table1[Level of influence],"national",Table1['# of quarters between first contribution statement ],'Quant analysis'!$DS8)</f>
        <v>0</v>
      </c>
      <c r="DX8" s="129">
        <f>COUNTIFS(Table1[The Six Conditions of Systems Change (WORK IN PROGRESS)],'Quant analysis'!DX$1,Table1[Level of influence],"subnational",Table1['# of quarters between first contribution statement ],'Quant analysis'!$DS8)+COUNTIFS(Table1[The Six Conditions of Systems Change (WORK IN PROGRESS)],'Quant analysis'!DX$1,Table1[Level of influence],"national",Table1['# of quarters between first contribution statement ],'Quant analysis'!$DS8)</f>
        <v>0</v>
      </c>
      <c r="DY8" s="129">
        <f>COUNTIFS(Table1[The Six Conditions of Systems Change (WORK IN PROGRESS)],'Quant analysis'!DY$1,Table1[Level of influence],"subnational",Table1['# of quarters between first contribution statement ],'Quant analysis'!$DS8)+COUNTIFS(Table1[The Six Conditions of Systems Change (WORK IN PROGRESS)],'Quant analysis'!DY$1,Table1[Level of influence],"national",Table1['# of quarters between first contribution statement ],'Quant analysis'!$DS8)</f>
        <v>0</v>
      </c>
      <c r="DZ8" s="129"/>
      <c r="EA8" s="130"/>
      <c r="EB8" s="68" t="s">
        <v>233</v>
      </c>
      <c r="EC8" s="129">
        <f>SUM(EC2:EC7)</f>
        <v>0</v>
      </c>
      <c r="ED8" s="129"/>
      <c r="EE8" s="129"/>
      <c r="EF8" s="129"/>
      <c r="EG8" s="129"/>
      <c r="EH8" s="130"/>
      <c r="EI8" s="130"/>
      <c r="EJ8" s="130"/>
      <c r="EK8" s="130"/>
      <c r="EL8" s="130"/>
      <c r="EM8" s="68" t="s">
        <v>233</v>
      </c>
      <c r="EN8" s="129">
        <f>SUM(EN2:EN7)</f>
        <v>0</v>
      </c>
      <c r="EO8" s="129"/>
      <c r="EP8" s="129"/>
      <c r="EQ8" s="129"/>
      <c r="ER8" s="129"/>
      <c r="ES8" s="130"/>
      <c r="ET8" s="130"/>
      <c r="EU8" s="130"/>
      <c r="EV8" s="130"/>
      <c r="EW8" s="68" t="s">
        <v>233</v>
      </c>
      <c r="EX8" s="129">
        <f>SUM(EX2:EX7)</f>
        <v>0</v>
      </c>
      <c r="EY8" s="129"/>
      <c r="EZ8" s="129"/>
      <c r="FA8" s="129"/>
      <c r="FB8" s="129"/>
      <c r="FC8" s="130"/>
      <c r="FD8" s="130"/>
      <c r="FE8" s="130"/>
    </row>
    <row r="9" spans="1:161" x14ac:dyDescent="0.2">
      <c r="A9" s="130"/>
      <c r="B9" s="130"/>
      <c r="C9" s="130"/>
      <c r="D9" s="130"/>
      <c r="E9" s="130"/>
      <c r="F9" s="130"/>
      <c r="G9" s="130"/>
      <c r="H9" s="130"/>
      <c r="I9" s="130"/>
      <c r="J9" s="130"/>
      <c r="K9" s="130"/>
      <c r="L9" s="130"/>
      <c r="M9" s="130"/>
      <c r="N9" s="130"/>
      <c r="O9" s="130"/>
      <c r="P9" s="130"/>
      <c r="Q9" s="130"/>
      <c r="R9" s="130"/>
      <c r="S9" s="130" t="s">
        <v>244</v>
      </c>
      <c r="T9" s="129" t="s">
        <v>124</v>
      </c>
      <c r="U9" s="129">
        <f>COUNTIF(Outcomes!$L:$L,'Quant analysis'!$T9)</f>
        <v>0</v>
      </c>
      <c r="V9" s="19">
        <f>COUNTIFS(Outcomes!$L:$L,'Quant analysis'!$T9,Outcomes!$Q:$Q,V$1)</f>
        <v>0</v>
      </c>
      <c r="W9" s="19">
        <f>COUNTIFS(Outcomes!$L:$L,'Quant analysis'!$T9,Outcomes!$Q:$Q,W$1)</f>
        <v>0</v>
      </c>
      <c r="X9" s="19">
        <f>COUNTIFS(Outcomes!$L:$L,'Quant analysis'!$T9,Outcomes!$Q:$Q,X$1)</f>
        <v>0</v>
      </c>
      <c r="Y9" s="19">
        <f>COUNTIFS(Outcomes!$L:$L,'Quant analysis'!$T9,Outcomes!$Q:$Q,Y$1)</f>
        <v>0</v>
      </c>
      <c r="Z9" s="19">
        <f>COUNTIFS(Outcomes!$L:$L,'Quant analysis'!$T9,Outcomes!$Q:$Q,Z$1)</f>
        <v>0</v>
      </c>
      <c r="AA9" s="105">
        <f>COUNTIFS(Outcomes!$L:$L,'Quant analysis'!$T9,Outcomes!$Q:$Q,AA$1)</f>
        <v>0</v>
      </c>
      <c r="AB9" s="105">
        <f>COUNTIFS(Outcomes!$L:$L,'Quant analysis'!$T9,Outcomes!$Q:$Q,AB$1)</f>
        <v>0</v>
      </c>
      <c r="AC9" s="105">
        <f>COUNTIFS(Outcomes!$L:$L,'Quant analysis'!$T9,Outcomes!$Q:$Q,AC$1)</f>
        <v>0</v>
      </c>
      <c r="AD9" s="105">
        <f>COUNTIFS(Outcomes!$L:$L,'Quant analysis'!$T9,Outcomes!$Q:$Q,AD$1)</f>
        <v>0</v>
      </c>
      <c r="AE9" s="130">
        <f t="shared" si="0"/>
        <v>0</v>
      </c>
      <c r="AF9" s="130"/>
      <c r="AG9" s="14" t="s">
        <v>351</v>
      </c>
      <c r="AH9" s="129">
        <f>COUNTIF(Outcomes!O:O,'Quant analysis'!AG9)</f>
        <v>0</v>
      </c>
      <c r="AI9" s="19">
        <f>COUNTIFS(Outcomes!$O:$O,'Quant analysis'!$AG9,Outcomes!$Q:$Q,AI$1)</f>
        <v>0</v>
      </c>
      <c r="AJ9" s="19">
        <f>COUNTIFS(Outcomes!$O:$O,'Quant analysis'!$AG9,Outcomes!$Q:$Q,AJ$1)</f>
        <v>0</v>
      </c>
      <c r="AK9" s="19">
        <f>COUNTIFS(Outcomes!$O:$O,'Quant analysis'!$AG9,Outcomes!$Q:$Q,AK$1)</f>
        <v>0</v>
      </c>
      <c r="AL9" s="19">
        <f>COUNTIFS(Outcomes!$O:$O,'Quant analysis'!$AG9,Outcomes!$Q:$Q,AL$1)</f>
        <v>0</v>
      </c>
      <c r="AM9" s="19">
        <f>COUNTIFS(Outcomes!$O:$O,'Quant analysis'!$AG9,Outcomes!$Q:$Q,AM$1)</f>
        <v>0</v>
      </c>
      <c r="AN9" s="105">
        <f>COUNTIFS(Outcomes!$O:$O,'Quant analysis'!$AG9,Outcomes!$Q:$Q,AN$1)</f>
        <v>0</v>
      </c>
      <c r="AO9" s="105">
        <f>COUNTIFS(Outcomes!$O:$O,'Quant analysis'!$AG9,Outcomes!$Q:$Q,AO$1)</f>
        <v>0</v>
      </c>
      <c r="AP9" s="105">
        <f>COUNTIFS(Outcomes!$O:$O,'Quant analysis'!$AG9,Outcomes!$Q:$Q,AP$1)</f>
        <v>0</v>
      </c>
      <c r="AQ9" s="105">
        <f>COUNTIFS(Outcomes!$O:$O,'Quant analysis'!$AG9,Outcomes!$Q:$Q,AQ$1)</f>
        <v>0</v>
      </c>
      <c r="AR9" s="130">
        <f t="shared" si="1"/>
        <v>0</v>
      </c>
      <c r="AS9" s="130"/>
      <c r="AT9" s="129" t="s">
        <v>139</v>
      </c>
      <c r="AU9" s="129">
        <f>COUNTIF(Outcomes!P:P,'Quant analysis'!AT9)</f>
        <v>0</v>
      </c>
      <c r="AV9" s="19">
        <f>COUNTIFS(Outcomes!$P:$P,'Quant analysis'!$AT9,Outcomes!$Q:$Q,AV$1)</f>
        <v>0</v>
      </c>
      <c r="AW9" s="19">
        <f>COUNTIFS(Outcomes!$P:$P,'Quant analysis'!$AT9,Outcomes!$Q:$Q,AW$1)</f>
        <v>0</v>
      </c>
      <c r="AX9" s="19">
        <f>COUNTIFS(Outcomes!$P:$P,'Quant analysis'!$AT9,Outcomes!$Q:$Q,AX$1)</f>
        <v>0</v>
      </c>
      <c r="AY9" s="19">
        <f>COUNTIFS(Outcomes!$P:$P,'Quant analysis'!$AT9,Outcomes!$Q:$Q,AY$1)</f>
        <v>0</v>
      </c>
      <c r="AZ9" s="19">
        <f>COUNTIFS(Outcomes!$P:$P,'Quant analysis'!$AT9,Outcomes!$Q:$Q,AZ$1)</f>
        <v>0</v>
      </c>
      <c r="BA9" s="105">
        <f>COUNTIFS(Outcomes!$P:$P,'Quant analysis'!$AT9,Outcomes!$Q:$Q,BA$1)</f>
        <v>0</v>
      </c>
      <c r="BB9" s="105">
        <f>COUNTIFS(Outcomes!$P:$P,'Quant analysis'!$AT9,Outcomes!$Q:$Q,BB$1)</f>
        <v>0</v>
      </c>
      <c r="BC9" s="105">
        <f>COUNTIFS(Outcomes!$P:$P,'Quant analysis'!$AT9,Outcomes!$Q:$Q,BC$1)</f>
        <v>0</v>
      </c>
      <c r="BD9" s="105">
        <f>COUNTIFS(Outcomes!$P:$P,'Quant analysis'!$AT9,Outcomes!$Q:$Q,BD$1)</f>
        <v>0</v>
      </c>
      <c r="BE9" s="20">
        <f t="shared" si="2"/>
        <v>0</v>
      </c>
      <c r="BF9" s="130"/>
      <c r="BG9" s="130"/>
      <c r="BH9" s="130"/>
      <c r="BI9" s="130"/>
      <c r="BJ9" s="130"/>
      <c r="BK9" s="26" t="s">
        <v>250</v>
      </c>
      <c r="BL9" s="130"/>
      <c r="BM9" s="130"/>
      <c r="BN9" s="130"/>
      <c r="BO9" s="130"/>
      <c r="BP9" s="130"/>
      <c r="BQ9" s="130"/>
      <c r="BR9" s="130"/>
      <c r="BS9" s="130"/>
      <c r="BT9" s="129"/>
      <c r="BU9" s="129" t="s">
        <v>194</v>
      </c>
      <c r="BV9" s="68">
        <f>COUNTIF(Outcomes!U:Y,'Quant analysis'!BU9)</f>
        <v>0</v>
      </c>
      <c r="BW9" s="19">
        <f>COUNTIFS(Outcomes!$U:$U,'Quant analysis'!$BU9,Outcomes!$Q:$Q,BW$1)+COUNTIFS(Outcomes!$V:$V,'Quant analysis'!$BU9,Outcomes!$Q:$Q,BW$1)+COUNTIFS(Outcomes!$W:$W,'Quant analysis'!$BU9,Outcomes!$Q:$Q,BW$1)+COUNTIFS(Outcomes!$X:$X,'Quant analysis'!$BU9,Outcomes!$Q:$Q,BW$1)+COUNTIFS(Outcomes!$Y:$Y,'Quant analysis'!$BU9,Outcomes!$Q:$Q,BW$1)</f>
        <v>0</v>
      </c>
      <c r="BX9" s="19">
        <f>COUNTIFS(Outcomes!$U:$U,'Quant analysis'!$BU9,Outcomes!$Q:$Q,BX$1)+COUNTIFS(Outcomes!$V:$V,'Quant analysis'!$BU9,Outcomes!$Q:$Q,BX$1)+COUNTIFS(Outcomes!$W:$W,'Quant analysis'!$BU9,Outcomes!$Q:$Q,BX$1)+COUNTIFS(Outcomes!$X:$X,'Quant analysis'!$BU9,Outcomes!$Q:$Q,BX$1)+COUNTIFS(Outcomes!$Y:$Y,'Quant analysis'!$BU9,Outcomes!$Q:$Q,BX$1)</f>
        <v>0</v>
      </c>
      <c r="BY9" s="19">
        <f>COUNTIFS(Outcomes!$U:$U,'Quant analysis'!$BU9,Outcomes!$Q:$Q,BY$1)+COUNTIFS(Outcomes!$V:$V,'Quant analysis'!$BU9,Outcomes!$Q:$Q,BY$1)+COUNTIFS(Outcomes!$W:$W,'Quant analysis'!$BU9,Outcomes!$Q:$Q,BY$1)+COUNTIFS(Outcomes!$X:$X,'Quant analysis'!$BU9,Outcomes!$Q:$Q,BY$1)+COUNTIFS(Outcomes!$Y:$Y,'Quant analysis'!$BU9,Outcomes!$Q:$Q,BY$1)</f>
        <v>0</v>
      </c>
      <c r="BZ9" s="19">
        <f>COUNTIFS(Outcomes!$U:$U,'Quant analysis'!$BU9,Outcomes!$Q:$Q,BZ$1)+COUNTIFS(Outcomes!$V:$V,'Quant analysis'!$BU9,Outcomes!$Q:$Q,BZ$1)+COUNTIFS(Outcomes!$W:$W,'Quant analysis'!$BU9,Outcomes!$Q:$Q,BZ$1)+COUNTIFS(Outcomes!$X:$X,'Quant analysis'!$BU9,Outcomes!$Q:$Q,BZ$1)+COUNTIFS(Outcomes!$Y:$Y,'Quant analysis'!$BU9,Outcomes!$Q:$Q,BZ$1)</f>
        <v>0</v>
      </c>
      <c r="CA9" s="19">
        <f>COUNTIFS(Outcomes!$U:$U,'Quant analysis'!$BU9,Outcomes!$Q:$Q,CA$1)+COUNTIFS(Outcomes!$V:$V,'Quant analysis'!$BU9,Outcomes!$Q:$Q,CA$1)+COUNTIFS(Outcomes!$W:$W,'Quant analysis'!$BU9,Outcomes!$Q:$Q,CA$1)+COUNTIFS(Outcomes!$X:$X,'Quant analysis'!$BU9,Outcomes!$Q:$Q,CA$1)+COUNTIFS(Outcomes!$Y:$Y,'Quant analysis'!$BU9,Outcomes!$Q:$Q,CA$1)</f>
        <v>0</v>
      </c>
      <c r="CB9" s="105">
        <f>COUNTIFS(Outcomes!$U:$U,'Quant analysis'!$BU9,Outcomes!$Q:$Q,CB$1)+COUNTIFS(Outcomes!$V:$V,'Quant analysis'!$BU9,Outcomes!$Q:$Q,CB$1)+COUNTIFS(Outcomes!$W:$W,'Quant analysis'!$BU9,Outcomes!$Q:$Q,CB$1)+COUNTIFS(Outcomes!$X:$X,'Quant analysis'!$BU9,Outcomes!$Q:$Q,CB$1)+COUNTIFS(Outcomes!$Y:$Y,'Quant analysis'!$BU9,Outcomes!$Q:$Q,CB$1)</f>
        <v>0</v>
      </c>
      <c r="CC9" s="105">
        <f>COUNTIFS(Outcomes!$U:$U,'Quant analysis'!$BU9,Outcomes!$Q:$Q,CC$1)+COUNTIFS(Outcomes!$V:$V,'Quant analysis'!$BU9,Outcomes!$Q:$Q,CC$1)+COUNTIFS(Outcomes!$W:$W,'Quant analysis'!$BU9,Outcomes!$Q:$Q,CC$1)+COUNTIFS(Outcomes!$X:$X,'Quant analysis'!$BU9,Outcomes!$Q:$Q,CC$1)+COUNTIFS(Outcomes!$Y:$Y,'Quant analysis'!$BU9,Outcomes!$Q:$Q,CC$1)</f>
        <v>0</v>
      </c>
      <c r="CD9" s="105">
        <f>COUNTIFS(Outcomes!$U:$U,'Quant analysis'!$BU9,Outcomes!$Q:$Q,CD$1)+COUNTIFS(Outcomes!$V:$V,'Quant analysis'!$BU9,Outcomes!$Q:$Q,CD$1)+COUNTIFS(Outcomes!$W:$W,'Quant analysis'!$BU9,Outcomes!$Q:$Q,CD$1)+COUNTIFS(Outcomes!$X:$X,'Quant analysis'!$BU9,Outcomes!$Q:$Q,CD$1)+COUNTIFS(Outcomes!$Y:$Y,'Quant analysis'!$BU9,Outcomes!$Q:$Q,CD$1)</f>
        <v>0</v>
      </c>
      <c r="CE9" s="105">
        <f>COUNTIFS(Outcomes!$U:$U,'Quant analysis'!$BU9,Outcomes!$Q:$Q,CE$1)+COUNTIFS(Outcomes!$V:$V,'Quant analysis'!$BU9,Outcomes!$Q:$Q,CE$1)+COUNTIFS(Outcomes!$W:$W,'Quant analysis'!$BU9,Outcomes!$Q:$Q,CE$1)+COUNTIFS(Outcomes!$X:$X,'Quant analysis'!$BU9,Outcomes!$Q:$Q,CE$1)+COUNTIFS(Outcomes!$Y:$Y,'Quant analysis'!$BU9,Outcomes!$Q:$Q,CE$1)</f>
        <v>0</v>
      </c>
      <c r="CF9" s="129">
        <f t="shared" si="4"/>
        <v>0</v>
      </c>
      <c r="CG9" s="130"/>
      <c r="CH9" s="130"/>
      <c r="CI9" s="130"/>
      <c r="CJ9" s="130"/>
      <c r="CK9" s="130"/>
      <c r="CL9" s="130"/>
      <c r="CM9" s="130"/>
      <c r="CN9" s="130"/>
      <c r="CO9" s="130"/>
      <c r="CP9" s="130"/>
      <c r="CQ9" s="130"/>
      <c r="CR9" s="130"/>
      <c r="CS9" s="130"/>
      <c r="CT9" s="130"/>
      <c r="CU9" s="130"/>
      <c r="CV9" s="131"/>
      <c r="CW9" s="130"/>
      <c r="CX9" s="130"/>
      <c r="CY9" s="130"/>
      <c r="CZ9" s="130"/>
      <c r="DA9" s="130"/>
      <c r="DB9" s="130"/>
      <c r="DC9" s="130"/>
      <c r="DD9" s="130"/>
      <c r="DE9" s="130"/>
      <c r="DF9" s="130"/>
      <c r="DG9" s="130"/>
      <c r="DH9" s="129"/>
      <c r="DI9" s="129" t="s">
        <v>194</v>
      </c>
      <c r="DJ9" s="68">
        <f t="shared" si="7"/>
        <v>0</v>
      </c>
      <c r="DK9" s="19">
        <f>COUNTIFS(Table1[Level of influence],"subnational",Table1[The Six Conditions of Systems Change (WORK IN PROGRESS)],"Policies",Table1[Output contribution 1],'Quant analysis'!DI9)+COUNTIFS(Table1[Level of influence],"subnational",Table1[The Six Conditions of Systems Change (WORK IN PROGRESS)],"Policies",Table1[Output contribution 2],'Quant analysis'!DI9)+COUNTIFS(Table1[Level of influence],"subnational",Table1[The Six Conditions of Systems Change (WORK IN PROGRESS)],"Policies",Table1[Output contribution 3],'Quant analysis'!DI9)+COUNTIFS(Table1[Level of influence],"subnational",Table1[The Six Conditions of Systems Change (WORK IN PROGRESS)],"Policies",Table1[Output contribution 4],'Quant analysis'!DI9)+COUNTIFS(Table1[Level of influence],"subnational",Table1[The Six Conditions of Systems Change (WORK IN PROGRESS)],"Policies",Table1[Output contribution 5],'Quant analysis'!DI9)+COUNTIFS(Table1[Level of influence],"national",Table1[The Six Conditions of Systems Change (WORK IN PROGRESS)],"Policies",Table1[Output contribution 1],'Quant analysis'!DI9)+COUNTIFS(Table1[Level of influence],"national",Table1[The Six Conditions of Systems Change (WORK IN PROGRESS)],"Policies",Table1[Output contribution 2],'Quant analysis'!DI9)+COUNTIFS(Table1[Level of influence],"national",Table1[The Six Conditions of Systems Change (WORK IN PROGRESS)],"Policies",Table1[Output contribution 3],'Quant analysis'!DI9)+COUNTIFS(Table1[Level of influence],"national",Table1[The Six Conditions of Systems Change (WORK IN PROGRESS)],"Policies",Table1[Output contribution 4],'Quant analysis'!DI9)+COUNTIFS(Table1[Level of influence],"national",Table1[The Six Conditions of Systems Change (WORK IN PROGRESS)],"Policies",Table1[Output contribution 5],'Quant analysis'!DI9)</f>
        <v>0</v>
      </c>
      <c r="DL9" s="19">
        <f>COUNTIFS(Table1[Level of influence],"subnational",Table1[The Six Conditions of Systems Change (WORK IN PROGRESS)],"Practices",Table1[Output contribution 1],'Quant analysis'!$DI9)+COUNTIFS(Table1[Level of influence],"subnational",Table1[The Six Conditions of Systems Change (WORK IN PROGRESS)],"Practices",Table1[Output contribution 2],'Quant analysis'!$DI9)+COUNTIFS(Table1[Level of influence],"subnational",Table1[The Six Conditions of Systems Change (WORK IN PROGRESS)],"Practices",Table1[Output contribution 3],'Quant analysis'!$DI9)+COUNTIFS(Table1[Level of influence],"subnational",Table1[The Six Conditions of Systems Change (WORK IN PROGRESS)],"Practices",Table1[Output contribution 4],'Quant analysis'!$DI9)+COUNTIFS(Table1[Level of influence],"subnational",Table1[The Six Conditions of Systems Change (WORK IN PROGRESS)],"Practices",Table1[Output contribution 5],'Quant analysis'!$DI9)+COUNTIFS(Table1[Level of influence],"national",Table1[The Six Conditions of Systems Change (WORK IN PROGRESS)],"Practices",Table1[Output contribution 1],'Quant analysis'!$DI9)+COUNTIFS(Table1[Level of influence],"national",Table1[The Six Conditions of Systems Change (WORK IN PROGRESS)],"Practices",Table1[Output contribution 2],'Quant analysis'!$DI9)+COUNTIFS(Table1[Level of influence],"national",Table1[The Six Conditions of Systems Change (WORK IN PROGRESS)],"Practices",Table1[Output contribution 3],'Quant analysis'!$DI9)+COUNTIFS(Table1[Level of influence],"national",Table1[The Six Conditions of Systems Change (WORK IN PROGRESS)],"Practices",Table1[Output contribution 4],'Quant analysis'!$DI9)+COUNTIFS(Table1[Level of influence],"national",Table1[The Six Conditions of Systems Change (WORK IN PROGRESS)],"Practices",Table1[Output contribution 5],'Quant analysis'!$DI9)</f>
        <v>0</v>
      </c>
      <c r="DM9" s="19">
        <f>COUNTIFS(Table1[Level of influence],"subnational",Table1[The Six Conditions of Systems Change (WORK IN PROGRESS)],DM$1,Table1[Output contribution 1],'Quant analysis'!$DI9)+COUNTIFS(Table1[Level of influence],"subnational",Table1[The Six Conditions of Systems Change (WORK IN PROGRESS)],DM$1,Table1[Output contribution 2],'Quant analysis'!$DI9)+COUNTIFS(Table1[Level of influence],"subnational",Table1[The Six Conditions of Systems Change (WORK IN PROGRESS)],DM$1,Table1[Output contribution 3],'Quant analysis'!$DI9)+COUNTIFS(Table1[Level of influence],"subnational",Table1[The Six Conditions of Systems Change (WORK IN PROGRESS)],DM$1,Table1[Output contribution 4],'Quant analysis'!$DI9)+COUNTIFS(Table1[Level of influence],"subnational",Table1[The Six Conditions of Systems Change (WORK IN PROGRESS)],DM$1,Table1[Output contribution 5],'Quant analysis'!$DI9)+COUNTIFS(Table1[Level of influence],"national",Table1[The Six Conditions of Systems Change (WORK IN PROGRESS)],DM$1,Table1[Output contribution 1],'Quant analysis'!$DI9)+COUNTIFS(Table1[Level of influence],"national",Table1[The Six Conditions of Systems Change (WORK IN PROGRESS)],DM$1,Table1[Output contribution 2],'Quant analysis'!$DI9)+COUNTIFS(Table1[Level of influence],"national",Table1[The Six Conditions of Systems Change (WORK IN PROGRESS)],DM$1,Table1[Output contribution 3],'Quant analysis'!$DI9)+COUNTIFS(Table1[Level of influence],"national",Table1[The Six Conditions of Systems Change (WORK IN PROGRESS)],DM$1,Table1[Output contribution 4],'Quant analysis'!$DI9)+COUNTIFS(Table1[Level of influence],"national",Table1[The Six Conditions of Systems Change (WORK IN PROGRESS)],DM$1,Table1[Output contribution 5],'Quant analysis'!$DI9)</f>
        <v>0</v>
      </c>
      <c r="DN9" s="19">
        <f>COUNTIFS(Table1[Level of influence],"subnational",Table1[The Six Conditions of Systems Change (WORK IN PROGRESS)],DN$1,Table1[Output contribution 1],'Quant analysis'!$DI9)+COUNTIFS(Table1[Level of influence],"subnational",Table1[The Six Conditions of Systems Change (WORK IN PROGRESS)],DN$1,Table1[Output contribution 2],'Quant analysis'!$DI9)+COUNTIFS(Table1[Level of influence],"subnational",Table1[The Six Conditions of Systems Change (WORK IN PROGRESS)],DN$1,Table1[Output contribution 3],'Quant analysis'!$DI9)+COUNTIFS(Table1[Level of influence],"subnational",Table1[The Six Conditions of Systems Change (WORK IN PROGRESS)],DN$1,Table1[Output contribution 4],'Quant analysis'!$DI9)+COUNTIFS(Table1[Level of influence],"subnational",Table1[The Six Conditions of Systems Change (WORK IN PROGRESS)],DN$1,Table1[Output contribution 5],'Quant analysis'!$DI9)+COUNTIFS(Table1[Level of influence],"national",Table1[The Six Conditions of Systems Change (WORK IN PROGRESS)],DN$1,Table1[Output contribution 1],'Quant analysis'!$DI9)+COUNTIFS(Table1[Level of influence],"national",Table1[The Six Conditions of Systems Change (WORK IN PROGRESS)],DN$1,Table1[Output contribution 2],'Quant analysis'!$DI9)+COUNTIFS(Table1[Level of influence],"national",Table1[The Six Conditions of Systems Change (WORK IN PROGRESS)],DN$1,Table1[Output contribution 3],'Quant analysis'!$DI9)+COUNTIFS(Table1[Level of influence],"national",Table1[The Six Conditions of Systems Change (WORK IN PROGRESS)],DN$1,Table1[Output contribution 4],'Quant analysis'!$DI9)+COUNTIFS(Table1[Level of influence],"national",Table1[The Six Conditions of Systems Change (WORK IN PROGRESS)],DN$1,Table1[Output contribution 5],'Quant analysis'!$DI9)</f>
        <v>0</v>
      </c>
      <c r="DO9" s="19">
        <f>COUNTIFS(Table1[Level of influence],"subnational",Table1[The Six Conditions of Systems Change (WORK IN PROGRESS)],DO$1,Table1[Output contribution 1],'Quant analysis'!$DI9)+COUNTIFS(Table1[Level of influence],"subnational",Table1[The Six Conditions of Systems Change (WORK IN PROGRESS)],DO$1,Table1[Output contribution 2],'Quant analysis'!$DI9)+COUNTIFS(Table1[Level of influence],"subnational",Table1[The Six Conditions of Systems Change (WORK IN PROGRESS)],DO$1,Table1[Output contribution 3],'Quant analysis'!$DI9)+COUNTIFS(Table1[Level of influence],"subnational",Table1[The Six Conditions of Systems Change (WORK IN PROGRESS)],DO$1,Table1[Output contribution 4],'Quant analysis'!$DI9)+COUNTIFS(Table1[Level of influence],"subnational",Table1[The Six Conditions of Systems Change (WORK IN PROGRESS)],DO$1,Table1[Output contribution 5],'Quant analysis'!$DI9)+COUNTIFS(Table1[Level of influence],"national",Table1[The Six Conditions of Systems Change (WORK IN PROGRESS)],DO$1,Table1[Output contribution 1],'Quant analysis'!$DI9)+COUNTIFS(Table1[Level of influence],"national",Table1[The Six Conditions of Systems Change (WORK IN PROGRESS)],DO$1,Table1[Output contribution 2],'Quant analysis'!$DI9)+COUNTIFS(Table1[Level of influence],"national",Table1[The Six Conditions of Systems Change (WORK IN PROGRESS)],DO$1,Table1[Output contribution 3],'Quant analysis'!$DI9)+COUNTIFS(Table1[Level of influence],"national",Table1[The Six Conditions of Systems Change (WORK IN PROGRESS)],DO$1,Table1[Output contribution 4],'Quant analysis'!$DI9)+COUNTIFS(Table1[Level of influence],"national",Table1[The Six Conditions of Systems Change (WORK IN PROGRESS)],DO$1,Table1[Output contribution 5],'Quant analysis'!$DI9)</f>
        <v>0</v>
      </c>
      <c r="DP9" s="19">
        <f>COUNTIFS(Table1[Level of influence],"subnational",Table1[The Six Conditions of Systems Change (WORK IN PROGRESS)],DP$1,Table1[Output contribution 1],'Quant analysis'!$DI9)+COUNTIFS(Table1[Level of influence],"subnational",Table1[The Six Conditions of Systems Change (WORK IN PROGRESS)],DP$1,Table1[Output contribution 2],'Quant analysis'!$DI9)+COUNTIFS(Table1[Level of influence],"subnational",Table1[The Six Conditions of Systems Change (WORK IN PROGRESS)],DP$1,Table1[Output contribution 3],'Quant analysis'!$DI9)+COUNTIFS(Table1[Level of influence],"subnational",Table1[The Six Conditions of Systems Change (WORK IN PROGRESS)],DP$1,Table1[Output contribution 4],'Quant analysis'!$DI9)+COUNTIFS(Table1[Level of influence],"subnational",Table1[The Six Conditions of Systems Change (WORK IN PROGRESS)],DP$1,Table1[Output contribution 5],'Quant analysis'!$DI9)+COUNTIFS(Table1[Level of influence],"national",Table1[The Six Conditions of Systems Change (WORK IN PROGRESS)],DP$1,Table1[Output contribution 1],'Quant analysis'!$DI9)+COUNTIFS(Table1[Level of influence],"national",Table1[The Six Conditions of Systems Change (WORK IN PROGRESS)],DP$1,Table1[Output contribution 2],'Quant analysis'!$DI9)+COUNTIFS(Table1[Level of influence],"national",Table1[The Six Conditions of Systems Change (WORK IN PROGRESS)],DP$1,Table1[Output contribution 3],'Quant analysis'!$DI9)+COUNTIFS(Table1[Level of influence],"national",Table1[The Six Conditions of Systems Change (WORK IN PROGRESS)],DP$1,Table1[Output contribution 4],'Quant analysis'!$DI9)+COUNTIFS(Table1[Level of influence],"national",Table1[The Six Conditions of Systems Change (WORK IN PROGRESS)],DP$1,Table1[Output contribution 5],'Quant analysis'!$DI9)</f>
        <v>0</v>
      </c>
      <c r="DQ9" s="130"/>
      <c r="DR9" s="130"/>
      <c r="DS9" s="157" t="s">
        <v>251</v>
      </c>
      <c r="DT9" s="129">
        <f>COUNTIFS(Table1[The Six Conditions of Systems Change (WORK IN PROGRESS)],'Quant analysis'!DT$1,Table1[Level of influence],"subnational",Table1['# of quarters between first contribution statement ],'Quant analysis'!$DS9)+COUNTIFS(Table1[The Six Conditions of Systems Change (WORK IN PROGRESS)],'Quant analysis'!DT$1,Table1[Level of influence],"national",Table1['# of quarters between first contribution statement ],'Quant analysis'!$DS9)</f>
        <v>0</v>
      </c>
      <c r="DU9" s="129">
        <f>COUNTIFS(Table1[The Six Conditions of Systems Change (WORK IN PROGRESS)],'Quant analysis'!DU$1,Table1[Level of influence],"subnational",Table1['# of quarters between first contribution statement ],'Quant analysis'!$DS9)+COUNTIFS(Table1[The Six Conditions of Systems Change (WORK IN PROGRESS)],'Quant analysis'!DU$1,Table1[Level of influence],"national",Table1['# of quarters between first contribution statement ],'Quant analysis'!$DS9)</f>
        <v>0</v>
      </c>
      <c r="DV9" s="129">
        <f>COUNTIFS(Table1[The Six Conditions of Systems Change (WORK IN PROGRESS)],'Quant analysis'!DV$1,Table1[Level of influence],"subnational",Table1['# of quarters between first contribution statement ],'Quant analysis'!$DS9)+COUNTIFS(Table1[The Six Conditions of Systems Change (WORK IN PROGRESS)],'Quant analysis'!DV$1,Table1[Level of influence],"national",Table1['# of quarters between first contribution statement ],'Quant analysis'!$DS9)</f>
        <v>0</v>
      </c>
      <c r="DW9" s="129">
        <f>COUNTIFS(Table1[The Six Conditions of Systems Change (WORK IN PROGRESS)],'Quant analysis'!DW$1,Table1[Level of influence],"subnational",Table1['# of quarters between first contribution statement ],'Quant analysis'!$DS9)+COUNTIFS(Table1[The Six Conditions of Systems Change (WORK IN PROGRESS)],'Quant analysis'!DW$1,Table1[Level of influence],"national",Table1['# of quarters between first contribution statement ],'Quant analysis'!$DS9)</f>
        <v>0</v>
      </c>
      <c r="DX9" s="129">
        <f>COUNTIFS(Table1[The Six Conditions of Systems Change (WORK IN PROGRESS)],'Quant analysis'!DX$1,Table1[Level of influence],"subnational",Table1['# of quarters between first contribution statement ],'Quant analysis'!$DS9)+COUNTIFS(Table1[The Six Conditions of Systems Change (WORK IN PROGRESS)],'Quant analysis'!DX$1,Table1[Level of influence],"national",Table1['# of quarters between first contribution statement ],'Quant analysis'!$DS9)</f>
        <v>0</v>
      </c>
      <c r="DY9" s="129">
        <f>COUNTIFS(Table1[The Six Conditions of Systems Change (WORK IN PROGRESS)],'Quant analysis'!DY$1,Table1[Level of influence],"subnational",Table1['# of quarters between first contribution statement ],'Quant analysis'!$DS9)+COUNTIFS(Table1[The Six Conditions of Systems Change (WORK IN PROGRESS)],'Quant analysis'!DY$1,Table1[Level of influence],"national",Table1['# of quarters between first contribution statement ],'Quant analysis'!$DS9)</f>
        <v>0</v>
      </c>
      <c r="DZ9" s="129"/>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row>
    <row r="10" spans="1:161" x14ac:dyDescent="0.2">
      <c r="A10" s="16" t="s">
        <v>252</v>
      </c>
      <c r="B10" s="130"/>
      <c r="C10" s="130"/>
      <c r="D10" s="130"/>
      <c r="E10" s="130"/>
      <c r="F10" s="130"/>
      <c r="G10" s="130"/>
      <c r="H10" s="130"/>
      <c r="I10" s="130"/>
      <c r="J10" s="130"/>
      <c r="K10" s="130"/>
      <c r="L10" s="130"/>
      <c r="M10" s="130"/>
      <c r="N10" s="130"/>
      <c r="O10" s="130"/>
      <c r="P10" s="130"/>
      <c r="Q10" s="130"/>
      <c r="R10" s="130" t="s">
        <v>4</v>
      </c>
      <c r="S10" s="130" t="s">
        <v>236</v>
      </c>
      <c r="T10" s="129" t="s">
        <v>132</v>
      </c>
      <c r="U10" s="129">
        <f>COUNTIF(Outcomes!$L:$L,'Quant analysis'!$T10)</f>
        <v>0</v>
      </c>
      <c r="V10" s="19">
        <f>COUNTIFS(Outcomes!$L:$L,'Quant analysis'!$T10,Outcomes!$Q:$Q,V$1)</f>
        <v>0</v>
      </c>
      <c r="W10" s="19">
        <f>COUNTIFS(Outcomes!$L:$L,'Quant analysis'!$T10,Outcomes!$Q:$Q,W$1)</f>
        <v>0</v>
      </c>
      <c r="X10" s="19">
        <f>COUNTIFS(Outcomes!$L:$L,'Quant analysis'!$T10,Outcomes!$Q:$Q,X$1)</f>
        <v>0</v>
      </c>
      <c r="Y10" s="19">
        <f>COUNTIFS(Outcomes!$L:$L,'Quant analysis'!$T10,Outcomes!$Q:$Q,Y$1)</f>
        <v>0</v>
      </c>
      <c r="Z10" s="19">
        <f>COUNTIFS(Outcomes!$L:$L,'Quant analysis'!$T10,Outcomes!$Q:$Q,Z$1)</f>
        <v>0</v>
      </c>
      <c r="AA10" s="105">
        <f>COUNTIFS(Outcomes!$L:$L,'Quant analysis'!$T10,Outcomes!$Q:$Q,AA$1)</f>
        <v>0</v>
      </c>
      <c r="AB10" s="105">
        <f>COUNTIFS(Outcomes!$L:$L,'Quant analysis'!$T10,Outcomes!$Q:$Q,AB$1)</f>
        <v>0</v>
      </c>
      <c r="AC10" s="105">
        <f>COUNTIFS(Outcomes!$L:$L,'Quant analysis'!$T10,Outcomes!$Q:$Q,AC$1)</f>
        <v>0</v>
      </c>
      <c r="AD10" s="105">
        <f>COUNTIFS(Outcomes!$L:$L,'Quant analysis'!$T10,Outcomes!$Q:$Q,AD$1)</f>
        <v>0</v>
      </c>
      <c r="AE10" s="130">
        <f t="shared" si="0"/>
        <v>0</v>
      </c>
      <c r="AF10" s="130"/>
      <c r="AG10" s="15" t="s">
        <v>99</v>
      </c>
      <c r="AH10" s="129">
        <f>COUNTIF(Outcomes!O:O,'Quant analysis'!AG10)</f>
        <v>0</v>
      </c>
      <c r="AI10" s="19">
        <f>COUNTIFS(Outcomes!$O:$O,'Quant analysis'!$AG10,Outcomes!$Q:$Q,AI$1)</f>
        <v>0</v>
      </c>
      <c r="AJ10" s="19">
        <f>COUNTIFS(Outcomes!$O:$O,'Quant analysis'!$AG10,Outcomes!$Q:$Q,AJ$1)</f>
        <v>0</v>
      </c>
      <c r="AK10" s="19">
        <f>COUNTIFS(Outcomes!$O:$O,'Quant analysis'!$AG10,Outcomes!$Q:$Q,AK$1)</f>
        <v>0</v>
      </c>
      <c r="AL10" s="19">
        <f>COUNTIFS(Outcomes!$O:$O,'Quant analysis'!$AG10,Outcomes!$Q:$Q,AL$1)</f>
        <v>0</v>
      </c>
      <c r="AM10" s="19">
        <f>COUNTIFS(Outcomes!$O:$O,'Quant analysis'!$AG10,Outcomes!$Q:$Q,AM$1)</f>
        <v>0</v>
      </c>
      <c r="AN10" s="105">
        <f>COUNTIFS(Outcomes!$O:$O,'Quant analysis'!$AG10,Outcomes!$Q:$Q,AN$1)</f>
        <v>0</v>
      </c>
      <c r="AO10" s="105">
        <f>COUNTIFS(Outcomes!$O:$O,'Quant analysis'!$AG10,Outcomes!$Q:$Q,AO$1)</f>
        <v>0</v>
      </c>
      <c r="AP10" s="105">
        <f>COUNTIFS(Outcomes!$O:$O,'Quant analysis'!$AG10,Outcomes!$Q:$Q,AP$1)</f>
        <v>0</v>
      </c>
      <c r="AQ10" s="105">
        <f>COUNTIFS(Outcomes!$O:$O,'Quant analysis'!$AG10,Outcomes!$Q:$Q,AQ$1)</f>
        <v>0</v>
      </c>
      <c r="AR10" s="130">
        <f t="shared" si="1"/>
        <v>0</v>
      </c>
      <c r="AS10" s="130"/>
      <c r="AT10" s="130"/>
      <c r="AU10" s="16">
        <f t="shared" ref="AU10:BD10" si="12">SUM(AU2:AU9)</f>
        <v>0</v>
      </c>
      <c r="AV10" s="18">
        <f t="shared" si="12"/>
        <v>0</v>
      </c>
      <c r="AW10" s="18">
        <f t="shared" si="12"/>
        <v>0</v>
      </c>
      <c r="AX10" s="18">
        <f t="shared" si="12"/>
        <v>0</v>
      </c>
      <c r="AY10" s="18">
        <f t="shared" si="12"/>
        <v>0</v>
      </c>
      <c r="AZ10" s="18">
        <f t="shared" si="12"/>
        <v>0</v>
      </c>
      <c r="BA10" s="106">
        <f t="shared" si="12"/>
        <v>0</v>
      </c>
      <c r="BB10" s="106">
        <f t="shared" si="12"/>
        <v>0</v>
      </c>
      <c r="BC10" s="106">
        <f t="shared" si="12"/>
        <v>0</v>
      </c>
      <c r="BD10" s="106">
        <f t="shared" si="12"/>
        <v>0</v>
      </c>
      <c r="BE10" s="16"/>
      <c r="BF10" s="130"/>
      <c r="BG10" s="130"/>
      <c r="BH10" s="130"/>
      <c r="BI10" s="130"/>
      <c r="BJ10" s="130"/>
      <c r="BK10" s="130"/>
      <c r="BL10" s="130"/>
      <c r="BM10" s="130"/>
      <c r="BN10" s="130"/>
      <c r="BO10" s="130"/>
      <c r="BP10" s="130"/>
      <c r="BQ10" s="130"/>
      <c r="BR10" s="130"/>
      <c r="BS10" s="130"/>
      <c r="BT10" s="129"/>
      <c r="BU10" s="129" t="s">
        <v>145</v>
      </c>
      <c r="BV10" s="68">
        <f>COUNTIF(Outcomes!U:Y,'Quant analysis'!BU10)</f>
        <v>0</v>
      </c>
      <c r="BW10" s="19">
        <f>COUNTIFS(Outcomes!$U:$U,'Quant analysis'!$BU10,Outcomes!$Q:$Q,BW$1)+COUNTIFS(Outcomes!$V:$V,'Quant analysis'!$BU10,Outcomes!$Q:$Q,BW$1)+COUNTIFS(Outcomes!$W:$W,'Quant analysis'!$BU10,Outcomes!$Q:$Q,BW$1)+COUNTIFS(Outcomes!$X:$X,'Quant analysis'!$BU10,Outcomes!$Q:$Q,BW$1)+COUNTIFS(Outcomes!$Y:$Y,'Quant analysis'!$BU10,Outcomes!$Q:$Q,BW$1)</f>
        <v>0</v>
      </c>
      <c r="BX10" s="19">
        <f>COUNTIFS(Outcomes!$U:$U,'Quant analysis'!$BU10,Outcomes!$Q:$Q,BX$1)+COUNTIFS(Outcomes!$V:$V,'Quant analysis'!$BU10,Outcomes!$Q:$Q,BX$1)+COUNTIFS(Outcomes!$W:$W,'Quant analysis'!$BU10,Outcomes!$Q:$Q,BX$1)+COUNTIFS(Outcomes!$X:$X,'Quant analysis'!$BU10,Outcomes!$Q:$Q,BX$1)+COUNTIFS(Outcomes!$Y:$Y,'Quant analysis'!$BU10,Outcomes!$Q:$Q,BX$1)</f>
        <v>0</v>
      </c>
      <c r="BY10" s="19">
        <f>COUNTIFS(Outcomes!$U:$U,'Quant analysis'!$BU10,Outcomes!$Q:$Q,BY$1)+COUNTIFS(Outcomes!$V:$V,'Quant analysis'!$BU10,Outcomes!$Q:$Q,BY$1)+COUNTIFS(Outcomes!$W:$W,'Quant analysis'!$BU10,Outcomes!$Q:$Q,BY$1)+COUNTIFS(Outcomes!$X:$X,'Quant analysis'!$BU10,Outcomes!$Q:$Q,BY$1)+COUNTIFS(Outcomes!$Y:$Y,'Quant analysis'!$BU10,Outcomes!$Q:$Q,BY$1)</f>
        <v>0</v>
      </c>
      <c r="BZ10" s="19">
        <f>COUNTIFS(Outcomes!$U:$U,'Quant analysis'!$BU10,Outcomes!$Q:$Q,BZ$1)+COUNTIFS(Outcomes!$V:$V,'Quant analysis'!$BU10,Outcomes!$Q:$Q,BZ$1)+COUNTIFS(Outcomes!$W:$W,'Quant analysis'!$BU10,Outcomes!$Q:$Q,BZ$1)+COUNTIFS(Outcomes!$X:$X,'Quant analysis'!$BU10,Outcomes!$Q:$Q,BZ$1)+COUNTIFS(Outcomes!$Y:$Y,'Quant analysis'!$BU10,Outcomes!$Q:$Q,BZ$1)</f>
        <v>0</v>
      </c>
      <c r="CA10" s="19">
        <f>COUNTIFS(Outcomes!$U:$U,'Quant analysis'!$BU10,Outcomes!$Q:$Q,CA$1)+COUNTIFS(Outcomes!$V:$V,'Quant analysis'!$BU10,Outcomes!$Q:$Q,CA$1)+COUNTIFS(Outcomes!$W:$W,'Quant analysis'!$BU10,Outcomes!$Q:$Q,CA$1)+COUNTIFS(Outcomes!$X:$X,'Quant analysis'!$BU10,Outcomes!$Q:$Q,CA$1)+COUNTIFS(Outcomes!$Y:$Y,'Quant analysis'!$BU10,Outcomes!$Q:$Q,CA$1)</f>
        <v>0</v>
      </c>
      <c r="CB10" s="105">
        <f>COUNTIFS(Outcomes!$U:$U,'Quant analysis'!$BU10,Outcomes!$Q:$Q,CB$1)+COUNTIFS(Outcomes!$V:$V,'Quant analysis'!$BU10,Outcomes!$Q:$Q,CB$1)+COUNTIFS(Outcomes!$W:$W,'Quant analysis'!$BU10,Outcomes!$Q:$Q,CB$1)+COUNTIFS(Outcomes!$X:$X,'Quant analysis'!$BU10,Outcomes!$Q:$Q,CB$1)+COUNTIFS(Outcomes!$Y:$Y,'Quant analysis'!$BU10,Outcomes!$Q:$Q,CB$1)</f>
        <v>0</v>
      </c>
      <c r="CC10" s="105">
        <f>COUNTIFS(Outcomes!$U:$U,'Quant analysis'!$BU10,Outcomes!$Q:$Q,CC$1)+COUNTIFS(Outcomes!$V:$V,'Quant analysis'!$BU10,Outcomes!$Q:$Q,CC$1)+COUNTIFS(Outcomes!$W:$W,'Quant analysis'!$BU10,Outcomes!$Q:$Q,CC$1)+COUNTIFS(Outcomes!$X:$X,'Quant analysis'!$BU10,Outcomes!$Q:$Q,CC$1)+COUNTIFS(Outcomes!$Y:$Y,'Quant analysis'!$BU10,Outcomes!$Q:$Q,CC$1)</f>
        <v>0</v>
      </c>
      <c r="CD10" s="105">
        <f>COUNTIFS(Outcomes!$U:$U,'Quant analysis'!$BU10,Outcomes!$Q:$Q,CD$1)+COUNTIFS(Outcomes!$V:$V,'Quant analysis'!$BU10,Outcomes!$Q:$Q,CD$1)+COUNTIFS(Outcomes!$W:$W,'Quant analysis'!$BU10,Outcomes!$Q:$Q,CD$1)+COUNTIFS(Outcomes!$X:$X,'Quant analysis'!$BU10,Outcomes!$Q:$Q,CD$1)+COUNTIFS(Outcomes!$Y:$Y,'Quant analysis'!$BU10,Outcomes!$Q:$Q,CD$1)</f>
        <v>0</v>
      </c>
      <c r="CE10" s="105">
        <f>COUNTIFS(Outcomes!$U:$U,'Quant analysis'!$BU10,Outcomes!$Q:$Q,CE$1)+COUNTIFS(Outcomes!$V:$V,'Quant analysis'!$BU10,Outcomes!$Q:$Q,CE$1)+COUNTIFS(Outcomes!$W:$W,'Quant analysis'!$BU10,Outcomes!$Q:$Q,CE$1)+COUNTIFS(Outcomes!$X:$X,'Quant analysis'!$BU10,Outcomes!$Q:$Q,CE$1)+COUNTIFS(Outcomes!$Y:$Y,'Quant analysis'!$BU10,Outcomes!$Q:$Q,CE$1)</f>
        <v>0</v>
      </c>
      <c r="CF10" s="129">
        <f t="shared" si="4"/>
        <v>0</v>
      </c>
      <c r="CG10" s="130"/>
      <c r="CH10" s="130"/>
      <c r="CI10" s="130"/>
      <c r="CJ10" s="130"/>
      <c r="CK10" s="130"/>
      <c r="CL10" s="130"/>
      <c r="CM10" s="130"/>
      <c r="CN10" s="130"/>
      <c r="CO10" s="130"/>
      <c r="CP10" s="130"/>
      <c r="CQ10" s="130"/>
      <c r="CR10" s="130"/>
      <c r="CS10" s="130"/>
      <c r="CT10" s="130"/>
      <c r="CU10" s="130"/>
      <c r="CV10" s="131"/>
      <c r="CW10" s="130"/>
      <c r="CX10" s="130"/>
      <c r="CY10" s="130"/>
      <c r="CZ10" s="130"/>
      <c r="DA10" s="130"/>
      <c r="DB10" s="130"/>
      <c r="DC10" s="130"/>
      <c r="DD10" s="130"/>
      <c r="DE10" s="130"/>
      <c r="DF10" s="130"/>
      <c r="DG10" s="130"/>
      <c r="DH10" s="129"/>
      <c r="DI10" s="129" t="s">
        <v>145</v>
      </c>
      <c r="DJ10" s="68">
        <f t="shared" si="7"/>
        <v>0</v>
      </c>
      <c r="DK10" s="19">
        <f>COUNTIFS(Table1[Level of influence],"subnational",Table1[The Six Conditions of Systems Change (WORK IN PROGRESS)],"Policies",Table1[Output contribution 1],'Quant analysis'!DI10)+COUNTIFS(Table1[Level of influence],"subnational",Table1[The Six Conditions of Systems Change (WORK IN PROGRESS)],"Policies",Table1[Output contribution 2],'Quant analysis'!DI10)+COUNTIFS(Table1[Level of influence],"subnational",Table1[The Six Conditions of Systems Change (WORK IN PROGRESS)],"Policies",Table1[Output contribution 3],'Quant analysis'!DI10)+COUNTIFS(Table1[Level of influence],"subnational",Table1[The Six Conditions of Systems Change (WORK IN PROGRESS)],"Policies",Table1[Output contribution 4],'Quant analysis'!DI10)+COUNTIFS(Table1[Level of influence],"subnational",Table1[The Six Conditions of Systems Change (WORK IN PROGRESS)],"Policies",Table1[Output contribution 5],'Quant analysis'!DI10)+COUNTIFS(Table1[Level of influence],"national",Table1[The Six Conditions of Systems Change (WORK IN PROGRESS)],"Policies",Table1[Output contribution 1],'Quant analysis'!DI10)+COUNTIFS(Table1[Level of influence],"national",Table1[The Six Conditions of Systems Change (WORK IN PROGRESS)],"Policies",Table1[Output contribution 2],'Quant analysis'!DI10)+COUNTIFS(Table1[Level of influence],"national",Table1[The Six Conditions of Systems Change (WORK IN PROGRESS)],"Policies",Table1[Output contribution 3],'Quant analysis'!DI10)+COUNTIFS(Table1[Level of influence],"national",Table1[The Six Conditions of Systems Change (WORK IN PROGRESS)],"Policies",Table1[Output contribution 4],'Quant analysis'!DI10)+COUNTIFS(Table1[Level of influence],"national",Table1[The Six Conditions of Systems Change (WORK IN PROGRESS)],"Policies",Table1[Output contribution 5],'Quant analysis'!DI10)</f>
        <v>0</v>
      </c>
      <c r="DL10" s="19">
        <f>COUNTIFS(Table1[Level of influence],"subnational",Table1[The Six Conditions of Systems Change (WORK IN PROGRESS)],"Practices",Table1[Output contribution 1],'Quant analysis'!$DI10)+COUNTIFS(Table1[Level of influence],"subnational",Table1[The Six Conditions of Systems Change (WORK IN PROGRESS)],"Practices",Table1[Output contribution 2],'Quant analysis'!$DI10)+COUNTIFS(Table1[Level of influence],"subnational",Table1[The Six Conditions of Systems Change (WORK IN PROGRESS)],"Practices",Table1[Output contribution 3],'Quant analysis'!$DI10)+COUNTIFS(Table1[Level of influence],"subnational",Table1[The Six Conditions of Systems Change (WORK IN PROGRESS)],"Practices",Table1[Output contribution 4],'Quant analysis'!$DI10)+COUNTIFS(Table1[Level of influence],"subnational",Table1[The Six Conditions of Systems Change (WORK IN PROGRESS)],"Practices",Table1[Output contribution 5],'Quant analysis'!$DI10)+COUNTIFS(Table1[Level of influence],"national",Table1[The Six Conditions of Systems Change (WORK IN PROGRESS)],"Practices",Table1[Output contribution 1],'Quant analysis'!$DI10)+COUNTIFS(Table1[Level of influence],"national",Table1[The Six Conditions of Systems Change (WORK IN PROGRESS)],"Practices",Table1[Output contribution 2],'Quant analysis'!$DI10)+COUNTIFS(Table1[Level of influence],"national",Table1[The Six Conditions of Systems Change (WORK IN PROGRESS)],"Practices",Table1[Output contribution 3],'Quant analysis'!$DI10)+COUNTIFS(Table1[Level of influence],"national",Table1[The Six Conditions of Systems Change (WORK IN PROGRESS)],"Practices",Table1[Output contribution 4],'Quant analysis'!$DI10)+COUNTIFS(Table1[Level of influence],"national",Table1[The Six Conditions of Systems Change (WORK IN PROGRESS)],"Practices",Table1[Output contribution 5],'Quant analysis'!$DI10)</f>
        <v>0</v>
      </c>
      <c r="DM10" s="19">
        <f>COUNTIFS(Table1[Level of influence],"subnational",Table1[The Six Conditions of Systems Change (WORK IN PROGRESS)],DM$1,Table1[Output contribution 1],'Quant analysis'!$DI10)+COUNTIFS(Table1[Level of influence],"subnational",Table1[The Six Conditions of Systems Change (WORK IN PROGRESS)],DM$1,Table1[Output contribution 2],'Quant analysis'!$DI10)+COUNTIFS(Table1[Level of influence],"subnational",Table1[The Six Conditions of Systems Change (WORK IN PROGRESS)],DM$1,Table1[Output contribution 3],'Quant analysis'!$DI10)+COUNTIFS(Table1[Level of influence],"subnational",Table1[The Six Conditions of Systems Change (WORK IN PROGRESS)],DM$1,Table1[Output contribution 4],'Quant analysis'!$DI10)+COUNTIFS(Table1[Level of influence],"subnational",Table1[The Six Conditions of Systems Change (WORK IN PROGRESS)],DM$1,Table1[Output contribution 5],'Quant analysis'!$DI10)+COUNTIFS(Table1[Level of influence],"national",Table1[The Six Conditions of Systems Change (WORK IN PROGRESS)],DM$1,Table1[Output contribution 1],'Quant analysis'!$DI10)+COUNTIFS(Table1[Level of influence],"national",Table1[The Six Conditions of Systems Change (WORK IN PROGRESS)],DM$1,Table1[Output contribution 2],'Quant analysis'!$DI10)+COUNTIFS(Table1[Level of influence],"national",Table1[The Six Conditions of Systems Change (WORK IN PROGRESS)],DM$1,Table1[Output contribution 3],'Quant analysis'!$DI10)+COUNTIFS(Table1[Level of influence],"national",Table1[The Six Conditions of Systems Change (WORK IN PROGRESS)],DM$1,Table1[Output contribution 4],'Quant analysis'!$DI10)+COUNTIFS(Table1[Level of influence],"national",Table1[The Six Conditions of Systems Change (WORK IN PROGRESS)],DM$1,Table1[Output contribution 5],'Quant analysis'!$DI10)</f>
        <v>0</v>
      </c>
      <c r="DN10" s="19">
        <f>COUNTIFS(Table1[Level of influence],"subnational",Table1[The Six Conditions of Systems Change (WORK IN PROGRESS)],DN$1,Table1[Output contribution 1],'Quant analysis'!$DI10)+COUNTIFS(Table1[Level of influence],"subnational",Table1[The Six Conditions of Systems Change (WORK IN PROGRESS)],DN$1,Table1[Output contribution 2],'Quant analysis'!$DI10)+COUNTIFS(Table1[Level of influence],"subnational",Table1[The Six Conditions of Systems Change (WORK IN PROGRESS)],DN$1,Table1[Output contribution 3],'Quant analysis'!$DI10)+COUNTIFS(Table1[Level of influence],"subnational",Table1[The Six Conditions of Systems Change (WORK IN PROGRESS)],DN$1,Table1[Output contribution 4],'Quant analysis'!$DI10)+COUNTIFS(Table1[Level of influence],"subnational",Table1[The Six Conditions of Systems Change (WORK IN PROGRESS)],DN$1,Table1[Output contribution 5],'Quant analysis'!$DI10)+COUNTIFS(Table1[Level of influence],"national",Table1[The Six Conditions of Systems Change (WORK IN PROGRESS)],DN$1,Table1[Output contribution 1],'Quant analysis'!$DI10)+COUNTIFS(Table1[Level of influence],"national",Table1[The Six Conditions of Systems Change (WORK IN PROGRESS)],DN$1,Table1[Output contribution 2],'Quant analysis'!$DI10)+COUNTIFS(Table1[Level of influence],"national",Table1[The Six Conditions of Systems Change (WORK IN PROGRESS)],DN$1,Table1[Output contribution 3],'Quant analysis'!$DI10)+COUNTIFS(Table1[Level of influence],"national",Table1[The Six Conditions of Systems Change (WORK IN PROGRESS)],DN$1,Table1[Output contribution 4],'Quant analysis'!$DI10)+COUNTIFS(Table1[Level of influence],"national",Table1[The Six Conditions of Systems Change (WORK IN PROGRESS)],DN$1,Table1[Output contribution 5],'Quant analysis'!$DI10)</f>
        <v>0</v>
      </c>
      <c r="DO10" s="19">
        <f>COUNTIFS(Table1[Level of influence],"subnational",Table1[The Six Conditions of Systems Change (WORK IN PROGRESS)],DO$1,Table1[Output contribution 1],'Quant analysis'!$DI10)+COUNTIFS(Table1[Level of influence],"subnational",Table1[The Six Conditions of Systems Change (WORK IN PROGRESS)],DO$1,Table1[Output contribution 2],'Quant analysis'!$DI10)+COUNTIFS(Table1[Level of influence],"subnational",Table1[The Six Conditions of Systems Change (WORK IN PROGRESS)],DO$1,Table1[Output contribution 3],'Quant analysis'!$DI10)+COUNTIFS(Table1[Level of influence],"subnational",Table1[The Six Conditions of Systems Change (WORK IN PROGRESS)],DO$1,Table1[Output contribution 4],'Quant analysis'!$DI10)+COUNTIFS(Table1[Level of influence],"subnational",Table1[The Six Conditions of Systems Change (WORK IN PROGRESS)],DO$1,Table1[Output contribution 5],'Quant analysis'!$DI10)+COUNTIFS(Table1[Level of influence],"national",Table1[The Six Conditions of Systems Change (WORK IN PROGRESS)],DO$1,Table1[Output contribution 1],'Quant analysis'!$DI10)+COUNTIFS(Table1[Level of influence],"national",Table1[The Six Conditions of Systems Change (WORK IN PROGRESS)],DO$1,Table1[Output contribution 2],'Quant analysis'!$DI10)+COUNTIFS(Table1[Level of influence],"national",Table1[The Six Conditions of Systems Change (WORK IN PROGRESS)],DO$1,Table1[Output contribution 3],'Quant analysis'!$DI10)+COUNTIFS(Table1[Level of influence],"national",Table1[The Six Conditions of Systems Change (WORK IN PROGRESS)],DO$1,Table1[Output contribution 4],'Quant analysis'!$DI10)+COUNTIFS(Table1[Level of influence],"national",Table1[The Six Conditions of Systems Change (WORK IN PROGRESS)],DO$1,Table1[Output contribution 5],'Quant analysis'!$DI10)</f>
        <v>0</v>
      </c>
      <c r="DP10" s="19">
        <f>COUNTIFS(Table1[Level of influence],"subnational",Table1[The Six Conditions of Systems Change (WORK IN PROGRESS)],DP$1,Table1[Output contribution 1],'Quant analysis'!$DI10)+COUNTIFS(Table1[Level of influence],"subnational",Table1[The Six Conditions of Systems Change (WORK IN PROGRESS)],DP$1,Table1[Output contribution 2],'Quant analysis'!$DI10)+COUNTIFS(Table1[Level of influence],"subnational",Table1[The Six Conditions of Systems Change (WORK IN PROGRESS)],DP$1,Table1[Output contribution 3],'Quant analysis'!$DI10)+COUNTIFS(Table1[Level of influence],"subnational",Table1[The Six Conditions of Systems Change (WORK IN PROGRESS)],DP$1,Table1[Output contribution 4],'Quant analysis'!$DI10)+COUNTIFS(Table1[Level of influence],"subnational",Table1[The Six Conditions of Systems Change (WORK IN PROGRESS)],DP$1,Table1[Output contribution 5],'Quant analysis'!$DI10)+COUNTIFS(Table1[Level of influence],"national",Table1[The Six Conditions of Systems Change (WORK IN PROGRESS)],DP$1,Table1[Output contribution 1],'Quant analysis'!$DI10)+COUNTIFS(Table1[Level of influence],"national",Table1[The Six Conditions of Systems Change (WORK IN PROGRESS)],DP$1,Table1[Output contribution 2],'Quant analysis'!$DI10)+COUNTIFS(Table1[Level of influence],"national",Table1[The Six Conditions of Systems Change (WORK IN PROGRESS)],DP$1,Table1[Output contribution 3],'Quant analysis'!$DI10)+COUNTIFS(Table1[Level of influence],"national",Table1[The Six Conditions of Systems Change (WORK IN PROGRESS)],DP$1,Table1[Output contribution 4],'Quant analysis'!$DI10)+COUNTIFS(Table1[Level of influence],"national",Table1[The Six Conditions of Systems Change (WORK IN PROGRESS)],DP$1,Table1[Output contribution 5],'Quant analysis'!$DI10)</f>
        <v>0</v>
      </c>
      <c r="DQ10" s="130"/>
      <c r="DR10" s="130"/>
      <c r="DS10" s="157" t="s">
        <v>253</v>
      </c>
      <c r="DT10" s="129">
        <f>COUNTIFS(Table1[The Six Conditions of Systems Change (WORK IN PROGRESS)],'Quant analysis'!DT$1,Table1[Level of influence],"subnational",Table1['# of quarters between first contribution statement ],'Quant analysis'!$DS10)+COUNTIFS(Table1[The Six Conditions of Systems Change (WORK IN PROGRESS)],'Quant analysis'!DT$1,Table1[Level of influence],"national",Table1['# of quarters between first contribution statement ],'Quant analysis'!$DS10)</f>
        <v>0</v>
      </c>
      <c r="DU10" s="129">
        <f>COUNTIFS(Table1[The Six Conditions of Systems Change (WORK IN PROGRESS)],'Quant analysis'!DU$1,Table1[Level of influence],"subnational",Table1['# of quarters between first contribution statement ],'Quant analysis'!$DS10)+COUNTIFS(Table1[The Six Conditions of Systems Change (WORK IN PROGRESS)],'Quant analysis'!DU$1,Table1[Level of influence],"national",Table1['# of quarters between first contribution statement ],'Quant analysis'!$DS10)</f>
        <v>0</v>
      </c>
      <c r="DV10" s="129">
        <f>COUNTIFS(Table1[The Six Conditions of Systems Change (WORK IN PROGRESS)],'Quant analysis'!DV$1,Table1[Level of influence],"subnational",Table1['# of quarters between first contribution statement ],'Quant analysis'!$DS10)+COUNTIFS(Table1[The Six Conditions of Systems Change (WORK IN PROGRESS)],'Quant analysis'!DV$1,Table1[Level of influence],"national",Table1['# of quarters between first contribution statement ],'Quant analysis'!$DS10)</f>
        <v>0</v>
      </c>
      <c r="DW10" s="129">
        <f>COUNTIFS(Table1[The Six Conditions of Systems Change (WORK IN PROGRESS)],'Quant analysis'!DW$1,Table1[Level of influence],"subnational",Table1['# of quarters between first contribution statement ],'Quant analysis'!$DS10)+COUNTIFS(Table1[The Six Conditions of Systems Change (WORK IN PROGRESS)],'Quant analysis'!DW$1,Table1[Level of influence],"national",Table1['# of quarters between first contribution statement ],'Quant analysis'!$DS10)</f>
        <v>0</v>
      </c>
      <c r="DX10" s="129">
        <f>COUNTIFS(Table1[The Six Conditions of Systems Change (WORK IN PROGRESS)],'Quant analysis'!DX$1,Table1[Level of influence],"subnational",Table1['# of quarters between first contribution statement ],'Quant analysis'!$DS10)+COUNTIFS(Table1[The Six Conditions of Systems Change (WORK IN PROGRESS)],'Quant analysis'!DX$1,Table1[Level of influence],"national",Table1['# of quarters between first contribution statement ],'Quant analysis'!$DS10)</f>
        <v>0</v>
      </c>
      <c r="DY10" s="129">
        <f>COUNTIFS(Table1[The Six Conditions of Systems Change (WORK IN PROGRESS)],'Quant analysis'!DY$1,Table1[Level of influence],"subnational",Table1['# of quarters between first contribution statement ],'Quant analysis'!$DS10)+COUNTIFS(Table1[The Six Conditions of Systems Change (WORK IN PROGRESS)],'Quant analysis'!DY$1,Table1[Level of influence],"national",Table1['# of quarters between first contribution statement ],'Quant analysis'!$DS10)</f>
        <v>0</v>
      </c>
      <c r="DZ10" s="129"/>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row>
    <row r="11" spans="1:161" x14ac:dyDescent="0.2">
      <c r="A11" s="67" t="s">
        <v>135</v>
      </c>
      <c r="B11" s="129">
        <f>COUNTIF(Outcomes!Q:Q,'Quant analysis'!A11)</f>
        <v>0</v>
      </c>
      <c r="C11" s="130"/>
      <c r="D11" s="130"/>
      <c r="E11" s="130"/>
      <c r="F11" s="130"/>
      <c r="G11" s="130"/>
      <c r="H11" s="130"/>
      <c r="I11" s="130"/>
      <c r="J11" s="130"/>
      <c r="K11" s="130"/>
      <c r="L11" s="130"/>
      <c r="M11" s="130"/>
      <c r="N11" s="130"/>
      <c r="O11" s="130"/>
      <c r="P11" s="130"/>
      <c r="Q11" s="130"/>
      <c r="R11" s="130"/>
      <c r="S11" s="130" t="s">
        <v>238</v>
      </c>
      <c r="T11" s="129" t="s">
        <v>151</v>
      </c>
      <c r="U11" s="129">
        <f>COUNTIF(Outcomes!$L:$L,'Quant analysis'!$T11)</f>
        <v>0</v>
      </c>
      <c r="V11" s="19">
        <f>COUNTIFS(Outcomes!$L:$L,'Quant analysis'!$T11,Outcomes!$Q:$Q,V$1)</f>
        <v>0</v>
      </c>
      <c r="W11" s="19">
        <f>COUNTIFS(Outcomes!$L:$L,'Quant analysis'!$T11,Outcomes!$Q:$Q,W$1)</f>
        <v>0</v>
      </c>
      <c r="X11" s="19">
        <f>COUNTIFS(Outcomes!$L:$L,'Quant analysis'!$T11,Outcomes!$Q:$Q,X$1)</f>
        <v>0</v>
      </c>
      <c r="Y11" s="19">
        <f>COUNTIFS(Outcomes!$L:$L,'Quant analysis'!$T11,Outcomes!$Q:$Q,Y$1)</f>
        <v>0</v>
      </c>
      <c r="Z11" s="19">
        <f>COUNTIFS(Outcomes!$L:$L,'Quant analysis'!$T11,Outcomes!$Q:$Q,Z$1)</f>
        <v>0</v>
      </c>
      <c r="AA11" s="105">
        <f>COUNTIFS(Outcomes!$L:$L,'Quant analysis'!$T11,Outcomes!$Q:$Q,AA$1)</f>
        <v>0</v>
      </c>
      <c r="AB11" s="105">
        <f>COUNTIFS(Outcomes!$L:$L,'Quant analysis'!$T11,Outcomes!$Q:$Q,AB$1)</f>
        <v>0</v>
      </c>
      <c r="AC11" s="105">
        <f>COUNTIFS(Outcomes!$L:$L,'Quant analysis'!$T11,Outcomes!$Q:$Q,AC$1)</f>
        <v>0</v>
      </c>
      <c r="AD11" s="105">
        <f>COUNTIFS(Outcomes!$L:$L,'Quant analysis'!$T11,Outcomes!$Q:$Q,AD$1)</f>
        <v>0</v>
      </c>
      <c r="AE11" s="130">
        <f t="shared" si="0"/>
        <v>0</v>
      </c>
      <c r="AF11" s="130"/>
      <c r="AG11" s="15" t="s">
        <v>148</v>
      </c>
      <c r="AH11" s="129">
        <f>COUNTIF(Outcomes!O:O,'Quant analysis'!AG11)</f>
        <v>0</v>
      </c>
      <c r="AI11" s="19">
        <f>COUNTIFS(Outcomes!$O:$O,'Quant analysis'!$AG11,Outcomes!$Q:$Q,AI$1)</f>
        <v>0</v>
      </c>
      <c r="AJ11" s="19">
        <f>COUNTIFS(Outcomes!$O:$O,'Quant analysis'!$AG11,Outcomes!$Q:$Q,AJ$1)</f>
        <v>0</v>
      </c>
      <c r="AK11" s="19">
        <f>COUNTIFS(Outcomes!$O:$O,'Quant analysis'!$AG11,Outcomes!$Q:$Q,AK$1)</f>
        <v>0</v>
      </c>
      <c r="AL11" s="19">
        <f>COUNTIFS(Outcomes!$O:$O,'Quant analysis'!$AG11,Outcomes!$Q:$Q,AL$1)</f>
        <v>0</v>
      </c>
      <c r="AM11" s="19">
        <f>COUNTIFS(Outcomes!$O:$O,'Quant analysis'!$AG11,Outcomes!$Q:$Q,AM$1)</f>
        <v>0</v>
      </c>
      <c r="AN11" s="105">
        <f>COUNTIFS(Outcomes!$O:$O,'Quant analysis'!$AG11,Outcomes!$Q:$Q,AN$1)</f>
        <v>0</v>
      </c>
      <c r="AO11" s="105">
        <f>COUNTIFS(Outcomes!$O:$O,'Quant analysis'!$AG11,Outcomes!$Q:$Q,AO$1)</f>
        <v>0</v>
      </c>
      <c r="AP11" s="105">
        <f>COUNTIFS(Outcomes!$O:$O,'Quant analysis'!$AG11,Outcomes!$Q:$Q,AP$1)</f>
        <v>0</v>
      </c>
      <c r="AQ11" s="105">
        <f>COUNTIFS(Outcomes!$O:$O,'Quant analysis'!$AG11,Outcomes!$Q:$Q,AQ$1)</f>
        <v>0</v>
      </c>
      <c r="AR11" s="130">
        <f t="shared" si="1"/>
        <v>0</v>
      </c>
      <c r="AS11" s="130"/>
      <c r="AT11" s="27" t="s">
        <v>248</v>
      </c>
      <c r="AU11" s="130"/>
      <c r="AV11" s="130"/>
      <c r="AW11" s="130"/>
      <c r="AX11" s="130"/>
      <c r="AY11" s="130"/>
      <c r="AZ11" s="130"/>
      <c r="BA11" s="130"/>
      <c r="BB11" s="130"/>
      <c r="BC11" s="130"/>
      <c r="BD11" s="130">
        <f>SUM(AV10:BD10)</f>
        <v>0</v>
      </c>
      <c r="BE11" s="130"/>
      <c r="BF11" s="130"/>
      <c r="BG11" s="130"/>
      <c r="BH11" s="130"/>
      <c r="BI11" s="130"/>
      <c r="BJ11" s="130"/>
      <c r="BK11" s="130"/>
      <c r="BL11" s="130"/>
      <c r="BM11" s="130"/>
      <c r="BN11" s="130"/>
      <c r="BO11" s="130"/>
      <c r="BP11" s="130"/>
      <c r="BQ11" s="130"/>
      <c r="BR11" s="130"/>
      <c r="BS11" s="130"/>
      <c r="BT11" s="129" t="s">
        <v>239</v>
      </c>
      <c r="BU11" s="129" t="s">
        <v>254</v>
      </c>
      <c r="BV11" s="68">
        <f>COUNTIF(Outcomes!U:Y,'Quant analysis'!BU11)</f>
        <v>0</v>
      </c>
      <c r="BW11" s="19">
        <f>COUNTIFS(Outcomes!$U:$U,'Quant analysis'!$BU11,Outcomes!$Q:$Q,BW$1)+COUNTIFS(Outcomes!$V:$V,'Quant analysis'!$BU11,Outcomes!$Q:$Q,BW$1)+COUNTIFS(Outcomes!$W:$W,'Quant analysis'!$BU11,Outcomes!$Q:$Q,BW$1)+COUNTIFS(Outcomes!$X:$X,'Quant analysis'!$BU11,Outcomes!$Q:$Q,BW$1)+COUNTIFS(Outcomes!$Y:$Y,'Quant analysis'!$BU11,Outcomes!$Q:$Q,BW$1)</f>
        <v>0</v>
      </c>
      <c r="BX11" s="19">
        <f>COUNTIFS(Outcomes!$U:$U,'Quant analysis'!$BU11,Outcomes!$Q:$Q,BX$1)+COUNTIFS(Outcomes!$V:$V,'Quant analysis'!$BU11,Outcomes!$Q:$Q,BX$1)+COUNTIFS(Outcomes!$W:$W,'Quant analysis'!$BU11,Outcomes!$Q:$Q,BX$1)+COUNTIFS(Outcomes!$X:$X,'Quant analysis'!$BU11,Outcomes!$Q:$Q,BX$1)+COUNTIFS(Outcomes!$Y:$Y,'Quant analysis'!$BU11,Outcomes!$Q:$Q,BX$1)</f>
        <v>0</v>
      </c>
      <c r="BY11" s="19">
        <f>COUNTIFS(Outcomes!$U:$U,'Quant analysis'!$BU11,Outcomes!$Q:$Q,BY$1)+COUNTIFS(Outcomes!$V:$V,'Quant analysis'!$BU11,Outcomes!$Q:$Q,BY$1)+COUNTIFS(Outcomes!$W:$W,'Quant analysis'!$BU11,Outcomes!$Q:$Q,BY$1)+COUNTIFS(Outcomes!$X:$X,'Quant analysis'!$BU11,Outcomes!$Q:$Q,BY$1)+COUNTIFS(Outcomes!$Y:$Y,'Quant analysis'!$BU11,Outcomes!$Q:$Q,BY$1)</f>
        <v>0</v>
      </c>
      <c r="BZ11" s="19">
        <f>COUNTIFS(Outcomes!$U:$U,'Quant analysis'!$BU11,Outcomes!$Q:$Q,BZ$1)+COUNTIFS(Outcomes!$V:$V,'Quant analysis'!$BU11,Outcomes!$Q:$Q,BZ$1)+COUNTIFS(Outcomes!$W:$W,'Quant analysis'!$BU11,Outcomes!$Q:$Q,BZ$1)+COUNTIFS(Outcomes!$X:$X,'Quant analysis'!$BU11,Outcomes!$Q:$Q,BZ$1)+COUNTIFS(Outcomes!$Y:$Y,'Quant analysis'!$BU11,Outcomes!$Q:$Q,BZ$1)</f>
        <v>0</v>
      </c>
      <c r="CA11" s="19">
        <f>COUNTIFS(Outcomes!$U:$U,'Quant analysis'!$BU11,Outcomes!$Q:$Q,CA$1)+COUNTIFS(Outcomes!$V:$V,'Quant analysis'!$BU11,Outcomes!$Q:$Q,CA$1)+COUNTIFS(Outcomes!$W:$W,'Quant analysis'!$BU11,Outcomes!$Q:$Q,CA$1)+COUNTIFS(Outcomes!$X:$X,'Quant analysis'!$BU11,Outcomes!$Q:$Q,CA$1)+COUNTIFS(Outcomes!$Y:$Y,'Quant analysis'!$BU11,Outcomes!$Q:$Q,CA$1)</f>
        <v>0</v>
      </c>
      <c r="CB11" s="105">
        <f>COUNTIFS(Outcomes!$U:$U,'Quant analysis'!$BU11,Outcomes!$Q:$Q,CB$1)+COUNTIFS(Outcomes!$V:$V,'Quant analysis'!$BU11,Outcomes!$Q:$Q,CB$1)+COUNTIFS(Outcomes!$W:$W,'Quant analysis'!$BU11,Outcomes!$Q:$Q,CB$1)+COUNTIFS(Outcomes!$X:$X,'Quant analysis'!$BU11,Outcomes!$Q:$Q,CB$1)+COUNTIFS(Outcomes!$Y:$Y,'Quant analysis'!$BU11,Outcomes!$Q:$Q,CB$1)</f>
        <v>0</v>
      </c>
      <c r="CC11" s="105">
        <f>COUNTIFS(Outcomes!$U:$U,'Quant analysis'!$BU11,Outcomes!$Q:$Q,CC$1)+COUNTIFS(Outcomes!$V:$V,'Quant analysis'!$BU11,Outcomes!$Q:$Q,CC$1)+COUNTIFS(Outcomes!$W:$W,'Quant analysis'!$BU11,Outcomes!$Q:$Q,CC$1)+COUNTIFS(Outcomes!$X:$X,'Quant analysis'!$BU11,Outcomes!$Q:$Q,CC$1)+COUNTIFS(Outcomes!$Y:$Y,'Quant analysis'!$BU11,Outcomes!$Q:$Q,CC$1)</f>
        <v>0</v>
      </c>
      <c r="CD11" s="105">
        <f>COUNTIFS(Outcomes!$U:$U,'Quant analysis'!$BU11,Outcomes!$Q:$Q,CD$1)+COUNTIFS(Outcomes!$V:$V,'Quant analysis'!$BU11,Outcomes!$Q:$Q,CD$1)+COUNTIFS(Outcomes!$W:$W,'Quant analysis'!$BU11,Outcomes!$Q:$Q,CD$1)+COUNTIFS(Outcomes!$X:$X,'Quant analysis'!$BU11,Outcomes!$Q:$Q,CD$1)+COUNTIFS(Outcomes!$Y:$Y,'Quant analysis'!$BU11,Outcomes!$Q:$Q,CD$1)</f>
        <v>0</v>
      </c>
      <c r="CE11" s="105">
        <f>COUNTIFS(Outcomes!$U:$U,'Quant analysis'!$BU11,Outcomes!$Q:$Q,CE$1)+COUNTIFS(Outcomes!$V:$V,'Quant analysis'!$BU11,Outcomes!$Q:$Q,CE$1)+COUNTIFS(Outcomes!$W:$W,'Quant analysis'!$BU11,Outcomes!$Q:$Q,CE$1)+COUNTIFS(Outcomes!$X:$X,'Quant analysis'!$BU11,Outcomes!$Q:$Q,CE$1)+COUNTIFS(Outcomes!$Y:$Y,'Quant analysis'!$BU11,Outcomes!$Q:$Q,CE$1)</f>
        <v>0</v>
      </c>
      <c r="CF11" s="129">
        <f t="shared" si="4"/>
        <v>0</v>
      </c>
      <c r="CG11" s="130"/>
      <c r="CH11" s="130"/>
      <c r="CI11" s="130"/>
      <c r="CJ11" s="130"/>
      <c r="CK11" s="130"/>
      <c r="CL11" s="130"/>
      <c r="CM11" s="130"/>
      <c r="CN11" s="130"/>
      <c r="CO11" s="130"/>
      <c r="CP11" s="130"/>
      <c r="CQ11" s="130"/>
      <c r="CR11" s="130"/>
      <c r="CS11" s="130"/>
      <c r="CT11" s="130"/>
      <c r="CU11" s="130"/>
      <c r="CV11" s="131"/>
      <c r="CW11" s="69" t="s">
        <v>255</v>
      </c>
      <c r="CX11" s="130"/>
      <c r="CY11" s="130"/>
      <c r="CZ11" s="130"/>
      <c r="DA11" s="130"/>
      <c r="DB11" s="130"/>
      <c r="DC11" s="130"/>
      <c r="DD11" s="130"/>
      <c r="DE11" s="130"/>
      <c r="DF11" s="130"/>
      <c r="DG11" s="130"/>
      <c r="DH11" s="129" t="s">
        <v>239</v>
      </c>
      <c r="DI11" s="129" t="s">
        <v>254</v>
      </c>
      <c r="DJ11" s="68">
        <f t="shared" si="7"/>
        <v>0</v>
      </c>
      <c r="DK11" s="19">
        <f>COUNTIFS(Table1[Level of influence],"subnational",Table1[The Six Conditions of Systems Change (WORK IN PROGRESS)],"Policies",Table1[Output contribution 1],'Quant analysis'!DI11)+COUNTIFS(Table1[Level of influence],"subnational",Table1[The Six Conditions of Systems Change (WORK IN PROGRESS)],"Policies",Table1[Output contribution 2],'Quant analysis'!DI11)+COUNTIFS(Table1[Level of influence],"subnational",Table1[The Six Conditions of Systems Change (WORK IN PROGRESS)],"Policies",Table1[Output contribution 3],'Quant analysis'!DI11)+COUNTIFS(Table1[Level of influence],"subnational",Table1[The Six Conditions of Systems Change (WORK IN PROGRESS)],"Policies",Table1[Output contribution 4],'Quant analysis'!DI11)+COUNTIFS(Table1[Level of influence],"subnational",Table1[The Six Conditions of Systems Change (WORK IN PROGRESS)],"Policies",Table1[Output contribution 5],'Quant analysis'!DI11)+COUNTIFS(Table1[Level of influence],"national",Table1[The Six Conditions of Systems Change (WORK IN PROGRESS)],"Policies",Table1[Output contribution 1],'Quant analysis'!DI11)+COUNTIFS(Table1[Level of influence],"national",Table1[The Six Conditions of Systems Change (WORK IN PROGRESS)],"Policies",Table1[Output contribution 2],'Quant analysis'!DI11)+COUNTIFS(Table1[Level of influence],"national",Table1[The Six Conditions of Systems Change (WORK IN PROGRESS)],"Policies",Table1[Output contribution 3],'Quant analysis'!DI11)+COUNTIFS(Table1[Level of influence],"national",Table1[The Six Conditions of Systems Change (WORK IN PROGRESS)],"Policies",Table1[Output contribution 4],'Quant analysis'!DI11)+COUNTIFS(Table1[Level of influence],"national",Table1[The Six Conditions of Systems Change (WORK IN PROGRESS)],"Policies",Table1[Output contribution 5],'Quant analysis'!DI11)</f>
        <v>0</v>
      </c>
      <c r="DL11" s="19">
        <f>COUNTIFS(Table1[Level of influence],"subnational",Table1[The Six Conditions of Systems Change (WORK IN PROGRESS)],"Practices",Table1[Output contribution 1],'Quant analysis'!$DI11)+COUNTIFS(Table1[Level of influence],"subnational",Table1[The Six Conditions of Systems Change (WORK IN PROGRESS)],"Practices",Table1[Output contribution 2],'Quant analysis'!$DI11)+COUNTIFS(Table1[Level of influence],"subnational",Table1[The Six Conditions of Systems Change (WORK IN PROGRESS)],"Practices",Table1[Output contribution 3],'Quant analysis'!$DI11)+COUNTIFS(Table1[Level of influence],"subnational",Table1[The Six Conditions of Systems Change (WORK IN PROGRESS)],"Practices",Table1[Output contribution 4],'Quant analysis'!$DI11)+COUNTIFS(Table1[Level of influence],"subnational",Table1[The Six Conditions of Systems Change (WORK IN PROGRESS)],"Practices",Table1[Output contribution 5],'Quant analysis'!$DI11)+COUNTIFS(Table1[Level of influence],"national",Table1[The Six Conditions of Systems Change (WORK IN PROGRESS)],"Practices",Table1[Output contribution 1],'Quant analysis'!$DI11)+COUNTIFS(Table1[Level of influence],"national",Table1[The Six Conditions of Systems Change (WORK IN PROGRESS)],"Practices",Table1[Output contribution 2],'Quant analysis'!$DI11)+COUNTIFS(Table1[Level of influence],"national",Table1[The Six Conditions of Systems Change (WORK IN PROGRESS)],"Practices",Table1[Output contribution 3],'Quant analysis'!$DI11)+COUNTIFS(Table1[Level of influence],"national",Table1[The Six Conditions of Systems Change (WORK IN PROGRESS)],"Practices",Table1[Output contribution 4],'Quant analysis'!$DI11)+COUNTIFS(Table1[Level of influence],"national",Table1[The Six Conditions of Systems Change (WORK IN PROGRESS)],"Practices",Table1[Output contribution 5],'Quant analysis'!$DI11)</f>
        <v>0</v>
      </c>
      <c r="DM11" s="19">
        <f>COUNTIFS(Table1[Level of influence],"subnational",Table1[The Six Conditions of Systems Change (WORK IN PROGRESS)],DM$1,Table1[Output contribution 1],'Quant analysis'!$DI11)+COUNTIFS(Table1[Level of influence],"subnational",Table1[The Six Conditions of Systems Change (WORK IN PROGRESS)],DM$1,Table1[Output contribution 2],'Quant analysis'!$DI11)+COUNTIFS(Table1[Level of influence],"subnational",Table1[The Six Conditions of Systems Change (WORK IN PROGRESS)],DM$1,Table1[Output contribution 3],'Quant analysis'!$DI11)+COUNTIFS(Table1[Level of influence],"subnational",Table1[The Six Conditions of Systems Change (WORK IN PROGRESS)],DM$1,Table1[Output contribution 4],'Quant analysis'!$DI11)+COUNTIFS(Table1[Level of influence],"subnational",Table1[The Six Conditions of Systems Change (WORK IN PROGRESS)],DM$1,Table1[Output contribution 5],'Quant analysis'!$DI11)+COUNTIFS(Table1[Level of influence],"national",Table1[The Six Conditions of Systems Change (WORK IN PROGRESS)],DM$1,Table1[Output contribution 1],'Quant analysis'!$DI11)+COUNTIFS(Table1[Level of influence],"national",Table1[The Six Conditions of Systems Change (WORK IN PROGRESS)],DM$1,Table1[Output contribution 2],'Quant analysis'!$DI11)+COUNTIFS(Table1[Level of influence],"national",Table1[The Six Conditions of Systems Change (WORK IN PROGRESS)],DM$1,Table1[Output contribution 3],'Quant analysis'!$DI11)+COUNTIFS(Table1[Level of influence],"national",Table1[The Six Conditions of Systems Change (WORK IN PROGRESS)],DM$1,Table1[Output contribution 4],'Quant analysis'!$DI11)+COUNTIFS(Table1[Level of influence],"national",Table1[The Six Conditions of Systems Change (WORK IN PROGRESS)],DM$1,Table1[Output contribution 5],'Quant analysis'!$DI11)</f>
        <v>0</v>
      </c>
      <c r="DN11" s="19">
        <f>COUNTIFS(Table1[Level of influence],"subnational",Table1[The Six Conditions of Systems Change (WORK IN PROGRESS)],DN$1,Table1[Output contribution 1],'Quant analysis'!$DI11)+COUNTIFS(Table1[Level of influence],"subnational",Table1[The Six Conditions of Systems Change (WORK IN PROGRESS)],DN$1,Table1[Output contribution 2],'Quant analysis'!$DI11)+COUNTIFS(Table1[Level of influence],"subnational",Table1[The Six Conditions of Systems Change (WORK IN PROGRESS)],DN$1,Table1[Output contribution 3],'Quant analysis'!$DI11)+COUNTIFS(Table1[Level of influence],"subnational",Table1[The Six Conditions of Systems Change (WORK IN PROGRESS)],DN$1,Table1[Output contribution 4],'Quant analysis'!$DI11)+COUNTIFS(Table1[Level of influence],"subnational",Table1[The Six Conditions of Systems Change (WORK IN PROGRESS)],DN$1,Table1[Output contribution 5],'Quant analysis'!$DI11)+COUNTIFS(Table1[Level of influence],"national",Table1[The Six Conditions of Systems Change (WORK IN PROGRESS)],DN$1,Table1[Output contribution 1],'Quant analysis'!$DI11)+COUNTIFS(Table1[Level of influence],"national",Table1[The Six Conditions of Systems Change (WORK IN PROGRESS)],DN$1,Table1[Output contribution 2],'Quant analysis'!$DI11)+COUNTIFS(Table1[Level of influence],"national",Table1[The Six Conditions of Systems Change (WORK IN PROGRESS)],DN$1,Table1[Output contribution 3],'Quant analysis'!$DI11)+COUNTIFS(Table1[Level of influence],"national",Table1[The Six Conditions of Systems Change (WORK IN PROGRESS)],DN$1,Table1[Output contribution 4],'Quant analysis'!$DI11)+COUNTIFS(Table1[Level of influence],"national",Table1[The Six Conditions of Systems Change (WORK IN PROGRESS)],DN$1,Table1[Output contribution 5],'Quant analysis'!$DI11)</f>
        <v>0</v>
      </c>
      <c r="DO11" s="19">
        <f>COUNTIFS(Table1[Level of influence],"subnational",Table1[The Six Conditions of Systems Change (WORK IN PROGRESS)],DO$1,Table1[Output contribution 1],'Quant analysis'!$DI11)+COUNTIFS(Table1[Level of influence],"subnational",Table1[The Six Conditions of Systems Change (WORK IN PROGRESS)],DO$1,Table1[Output contribution 2],'Quant analysis'!$DI11)+COUNTIFS(Table1[Level of influence],"subnational",Table1[The Six Conditions of Systems Change (WORK IN PROGRESS)],DO$1,Table1[Output contribution 3],'Quant analysis'!$DI11)+COUNTIFS(Table1[Level of influence],"subnational",Table1[The Six Conditions of Systems Change (WORK IN PROGRESS)],DO$1,Table1[Output contribution 4],'Quant analysis'!$DI11)+COUNTIFS(Table1[Level of influence],"subnational",Table1[The Six Conditions of Systems Change (WORK IN PROGRESS)],DO$1,Table1[Output contribution 5],'Quant analysis'!$DI11)+COUNTIFS(Table1[Level of influence],"national",Table1[The Six Conditions of Systems Change (WORK IN PROGRESS)],DO$1,Table1[Output contribution 1],'Quant analysis'!$DI11)+COUNTIFS(Table1[Level of influence],"national",Table1[The Six Conditions of Systems Change (WORK IN PROGRESS)],DO$1,Table1[Output contribution 2],'Quant analysis'!$DI11)+COUNTIFS(Table1[Level of influence],"national",Table1[The Six Conditions of Systems Change (WORK IN PROGRESS)],DO$1,Table1[Output contribution 3],'Quant analysis'!$DI11)+COUNTIFS(Table1[Level of influence],"national",Table1[The Six Conditions of Systems Change (WORK IN PROGRESS)],DO$1,Table1[Output contribution 4],'Quant analysis'!$DI11)+COUNTIFS(Table1[Level of influence],"national",Table1[The Six Conditions of Systems Change (WORK IN PROGRESS)],DO$1,Table1[Output contribution 5],'Quant analysis'!$DI11)</f>
        <v>0</v>
      </c>
      <c r="DP11" s="19">
        <f>COUNTIFS(Table1[Level of influence],"subnational",Table1[The Six Conditions of Systems Change (WORK IN PROGRESS)],DP$1,Table1[Output contribution 1],'Quant analysis'!$DI11)+COUNTIFS(Table1[Level of influence],"subnational",Table1[The Six Conditions of Systems Change (WORK IN PROGRESS)],DP$1,Table1[Output contribution 2],'Quant analysis'!$DI11)+COUNTIFS(Table1[Level of influence],"subnational",Table1[The Six Conditions of Systems Change (WORK IN PROGRESS)],DP$1,Table1[Output contribution 3],'Quant analysis'!$DI11)+COUNTIFS(Table1[Level of influence],"subnational",Table1[The Six Conditions of Systems Change (WORK IN PROGRESS)],DP$1,Table1[Output contribution 4],'Quant analysis'!$DI11)+COUNTIFS(Table1[Level of influence],"subnational",Table1[The Six Conditions of Systems Change (WORK IN PROGRESS)],DP$1,Table1[Output contribution 5],'Quant analysis'!$DI11)+COUNTIFS(Table1[Level of influence],"national",Table1[The Six Conditions of Systems Change (WORK IN PROGRESS)],DP$1,Table1[Output contribution 1],'Quant analysis'!$DI11)+COUNTIFS(Table1[Level of influence],"national",Table1[The Six Conditions of Systems Change (WORK IN PROGRESS)],DP$1,Table1[Output contribution 2],'Quant analysis'!$DI11)+COUNTIFS(Table1[Level of influence],"national",Table1[The Six Conditions of Systems Change (WORK IN PROGRESS)],DP$1,Table1[Output contribution 3],'Quant analysis'!$DI11)+COUNTIFS(Table1[Level of influence],"national",Table1[The Six Conditions of Systems Change (WORK IN PROGRESS)],DP$1,Table1[Output contribution 4],'Quant analysis'!$DI11)+COUNTIFS(Table1[Level of influence],"national",Table1[The Six Conditions of Systems Change (WORK IN PROGRESS)],DP$1,Table1[Output contribution 5],'Quant analysis'!$DI11)</f>
        <v>0</v>
      </c>
      <c r="DQ11" s="130"/>
      <c r="DR11" s="130"/>
      <c r="DS11" s="157" t="s">
        <v>256</v>
      </c>
      <c r="DT11" s="129">
        <f>COUNTIFS(Table1[The Six Conditions of Systems Change (WORK IN PROGRESS)],'Quant analysis'!DT$1,Table1[Level of influence],"subnational",Table1['# of quarters between first contribution statement ],'Quant analysis'!$DS11)+COUNTIFS(Table1[The Six Conditions of Systems Change (WORK IN PROGRESS)],'Quant analysis'!DT$1,Table1[Level of influence],"national",Table1['# of quarters between first contribution statement ],'Quant analysis'!$DS11)</f>
        <v>0</v>
      </c>
      <c r="DU11" s="129">
        <f>COUNTIFS(Table1[The Six Conditions of Systems Change (WORK IN PROGRESS)],'Quant analysis'!DU$1,Table1[Level of influence],"subnational",Table1['# of quarters between first contribution statement ],'Quant analysis'!$DS11)+COUNTIFS(Table1[The Six Conditions of Systems Change (WORK IN PROGRESS)],'Quant analysis'!DU$1,Table1[Level of influence],"national",Table1['# of quarters between first contribution statement ],'Quant analysis'!$DS11)</f>
        <v>0</v>
      </c>
      <c r="DV11" s="129">
        <f>COUNTIFS(Table1[The Six Conditions of Systems Change (WORK IN PROGRESS)],'Quant analysis'!DV$1,Table1[Level of influence],"subnational",Table1['# of quarters between first contribution statement ],'Quant analysis'!$DS11)+COUNTIFS(Table1[The Six Conditions of Systems Change (WORK IN PROGRESS)],'Quant analysis'!DV$1,Table1[Level of influence],"national",Table1['# of quarters between first contribution statement ],'Quant analysis'!$DS11)</f>
        <v>0</v>
      </c>
      <c r="DW11" s="129">
        <f>COUNTIFS(Table1[The Six Conditions of Systems Change (WORK IN PROGRESS)],'Quant analysis'!DW$1,Table1[Level of influence],"subnational",Table1['# of quarters between first contribution statement ],'Quant analysis'!$DS11)+COUNTIFS(Table1[The Six Conditions of Systems Change (WORK IN PROGRESS)],'Quant analysis'!DW$1,Table1[Level of influence],"national",Table1['# of quarters between first contribution statement ],'Quant analysis'!$DS11)</f>
        <v>0</v>
      </c>
      <c r="DX11" s="129">
        <f>COUNTIFS(Table1[The Six Conditions of Systems Change (WORK IN PROGRESS)],'Quant analysis'!DX$1,Table1[Level of influence],"subnational",Table1['# of quarters between first contribution statement ],'Quant analysis'!$DS11)+COUNTIFS(Table1[The Six Conditions of Systems Change (WORK IN PROGRESS)],'Quant analysis'!DX$1,Table1[Level of influence],"national",Table1['# of quarters between first contribution statement ],'Quant analysis'!$DS11)</f>
        <v>0</v>
      </c>
      <c r="DY11" s="129">
        <f>COUNTIFS(Table1[The Six Conditions of Systems Change (WORK IN PROGRESS)],'Quant analysis'!DY$1,Table1[Level of influence],"subnational",Table1['# of quarters between first contribution statement ],'Quant analysis'!$DS11)+COUNTIFS(Table1[The Six Conditions of Systems Change (WORK IN PROGRESS)],'Quant analysis'!DY$1,Table1[Level of influence],"national",Table1['# of quarters between first contribution statement ],'Quant analysis'!$DS11)</f>
        <v>0</v>
      </c>
      <c r="DZ11" s="129"/>
      <c r="EA11" s="130"/>
      <c r="EB11" s="69" t="s">
        <v>255</v>
      </c>
      <c r="EC11" s="130"/>
      <c r="ED11" s="130"/>
      <c r="EE11" s="130"/>
      <c r="EF11" s="130"/>
      <c r="EG11" s="130"/>
      <c r="EH11" s="130"/>
      <c r="EI11" s="130"/>
      <c r="EJ11" s="130"/>
      <c r="EK11" s="130"/>
      <c r="EL11" s="130"/>
      <c r="EM11" s="69" t="s">
        <v>255</v>
      </c>
      <c r="EN11" s="130"/>
      <c r="EO11" s="130"/>
      <c r="EP11" s="130"/>
      <c r="EQ11" s="130"/>
      <c r="ER11" s="130"/>
      <c r="ES11" s="130"/>
      <c r="ET11" s="130"/>
      <c r="EU11" s="130"/>
      <c r="EV11" s="130"/>
      <c r="EW11" s="69" t="s">
        <v>255</v>
      </c>
      <c r="EX11" s="130"/>
      <c r="EY11" s="130"/>
      <c r="EZ11" s="130"/>
      <c r="FA11" s="130"/>
      <c r="FB11" s="130"/>
      <c r="FC11" s="130"/>
      <c r="FD11" s="130"/>
      <c r="FE11" s="130"/>
    </row>
    <row r="12" spans="1:161" x14ac:dyDescent="0.2">
      <c r="A12" s="67" t="s">
        <v>159</v>
      </c>
      <c r="B12" s="129">
        <f>COUNTIF(Outcomes!Q:Q,'Quant analysis'!A12)</f>
        <v>0</v>
      </c>
      <c r="C12" s="130"/>
      <c r="D12" s="130"/>
      <c r="E12" s="130"/>
      <c r="F12" s="130"/>
      <c r="G12" s="130"/>
      <c r="H12" s="130"/>
      <c r="I12" s="130"/>
      <c r="J12" s="130"/>
      <c r="K12" s="130"/>
      <c r="L12" s="130"/>
      <c r="M12" s="130"/>
      <c r="N12" s="130"/>
      <c r="O12" s="130"/>
      <c r="P12" s="130"/>
      <c r="Q12" s="130"/>
      <c r="R12" s="130"/>
      <c r="S12" s="130" t="s">
        <v>241</v>
      </c>
      <c r="T12" s="129" t="s">
        <v>158</v>
      </c>
      <c r="U12" s="129">
        <f>COUNTIF(Outcomes!$L:$L,'Quant analysis'!$T12)</f>
        <v>0</v>
      </c>
      <c r="V12" s="19">
        <f>COUNTIFS(Outcomes!$L:$L,'Quant analysis'!$T12,Outcomes!$Q:$Q,V$1)</f>
        <v>0</v>
      </c>
      <c r="W12" s="19">
        <f>COUNTIFS(Outcomes!$L:$L,'Quant analysis'!$T12,Outcomes!$Q:$Q,W$1)</f>
        <v>0</v>
      </c>
      <c r="X12" s="19">
        <f>COUNTIFS(Outcomes!$L:$L,'Quant analysis'!$T12,Outcomes!$Q:$Q,X$1)</f>
        <v>0</v>
      </c>
      <c r="Y12" s="19">
        <f>COUNTIFS(Outcomes!$L:$L,'Quant analysis'!$T12,Outcomes!$Q:$Q,Y$1)</f>
        <v>0</v>
      </c>
      <c r="Z12" s="19">
        <f>COUNTIFS(Outcomes!$L:$L,'Quant analysis'!$T12,Outcomes!$Q:$Q,Z$1)</f>
        <v>0</v>
      </c>
      <c r="AA12" s="105">
        <f>COUNTIFS(Outcomes!$L:$L,'Quant analysis'!$T12,Outcomes!$Q:$Q,AA$1)</f>
        <v>0</v>
      </c>
      <c r="AB12" s="105">
        <f>COUNTIFS(Outcomes!$L:$L,'Quant analysis'!$T12,Outcomes!$Q:$Q,AB$1)</f>
        <v>0</v>
      </c>
      <c r="AC12" s="105">
        <f>COUNTIFS(Outcomes!$L:$L,'Quant analysis'!$T12,Outcomes!$Q:$Q,AC$1)</f>
        <v>0</v>
      </c>
      <c r="AD12" s="105">
        <f>COUNTIFS(Outcomes!$L:$L,'Quant analysis'!$T12,Outcomes!$Q:$Q,AD$1)</f>
        <v>0</v>
      </c>
      <c r="AE12" s="130">
        <f t="shared" si="0"/>
        <v>0</v>
      </c>
      <c r="AF12" s="130"/>
      <c r="AG12" s="14" t="s">
        <v>178</v>
      </c>
      <c r="AH12" s="129">
        <f>COUNTIF(Outcomes!O:O,'Quant analysis'!AG12)</f>
        <v>0</v>
      </c>
      <c r="AI12" s="19">
        <f>COUNTIFS(Outcomes!$O:$O,'Quant analysis'!$AG12,Outcomes!$Q:$Q,AI$1)</f>
        <v>0</v>
      </c>
      <c r="AJ12" s="19">
        <f>COUNTIFS(Outcomes!$O:$O,'Quant analysis'!$AG12,Outcomes!$Q:$Q,AJ$1)</f>
        <v>0</v>
      </c>
      <c r="AK12" s="19">
        <f>COUNTIFS(Outcomes!$O:$O,'Quant analysis'!$AG12,Outcomes!$Q:$Q,AK$1)</f>
        <v>0</v>
      </c>
      <c r="AL12" s="19">
        <f>COUNTIFS(Outcomes!$O:$O,'Quant analysis'!$AG12,Outcomes!$Q:$Q,AL$1)</f>
        <v>0</v>
      </c>
      <c r="AM12" s="19">
        <f>COUNTIFS(Outcomes!$O:$O,'Quant analysis'!$AG12,Outcomes!$Q:$Q,AM$1)</f>
        <v>0</v>
      </c>
      <c r="AN12" s="105">
        <f>COUNTIFS(Outcomes!$O:$O,'Quant analysis'!$AG12,Outcomes!$Q:$Q,AN$1)</f>
        <v>0</v>
      </c>
      <c r="AO12" s="105">
        <f>COUNTIFS(Outcomes!$O:$O,'Quant analysis'!$AG12,Outcomes!$Q:$Q,AO$1)</f>
        <v>0</v>
      </c>
      <c r="AP12" s="105">
        <f>COUNTIFS(Outcomes!$O:$O,'Quant analysis'!$AG12,Outcomes!$Q:$Q,AP$1)</f>
        <v>0</v>
      </c>
      <c r="AQ12" s="105">
        <f>COUNTIFS(Outcomes!$O:$O,'Quant analysis'!$AG12,Outcomes!$Q:$Q,AQ$1)</f>
        <v>0</v>
      </c>
      <c r="AR12" s="130">
        <f t="shared" si="1"/>
        <v>0</v>
      </c>
      <c r="AS12" s="130"/>
      <c r="AT12" s="130"/>
      <c r="AU12" s="130"/>
      <c r="AV12" s="130"/>
      <c r="AW12" s="130"/>
      <c r="AX12" s="130"/>
      <c r="AY12" s="26" t="s">
        <v>250</v>
      </c>
      <c r="AZ12" s="130"/>
      <c r="BA12" s="130"/>
      <c r="BB12" s="130"/>
      <c r="BC12" s="130"/>
      <c r="BD12" s="130"/>
      <c r="BE12" s="130"/>
      <c r="BF12" s="130"/>
      <c r="BG12" s="130"/>
      <c r="BH12" s="130"/>
      <c r="BI12" s="130"/>
      <c r="BJ12" s="130"/>
      <c r="BK12" s="130"/>
      <c r="BL12" s="130"/>
      <c r="BM12" s="130"/>
      <c r="BN12" s="130"/>
      <c r="BO12" s="130"/>
      <c r="BP12" s="130"/>
      <c r="BQ12" s="130"/>
      <c r="BR12" s="130"/>
      <c r="BS12" s="130"/>
      <c r="BT12" s="129" t="s">
        <v>239</v>
      </c>
      <c r="BU12" s="129" t="s">
        <v>257</v>
      </c>
      <c r="BV12" s="68">
        <f>COUNTIF(Outcomes!U:Y,'Quant analysis'!BU12)</f>
        <v>0</v>
      </c>
      <c r="BW12" s="19">
        <f>COUNTIFS(Outcomes!$U:$U,'Quant analysis'!$BU12,Outcomes!$Q:$Q,BW$1)+COUNTIFS(Outcomes!$V:$V,'Quant analysis'!$BU12,Outcomes!$Q:$Q,BW$1)+COUNTIFS(Outcomes!$W:$W,'Quant analysis'!$BU12,Outcomes!$Q:$Q,BW$1)+COUNTIFS(Outcomes!$X:$X,'Quant analysis'!$BU12,Outcomes!$Q:$Q,BW$1)+COUNTIFS(Outcomes!$Y:$Y,'Quant analysis'!$BU12,Outcomes!$Q:$Q,BW$1)</f>
        <v>0</v>
      </c>
      <c r="BX12" s="19">
        <f>COUNTIFS(Outcomes!$U:$U,'Quant analysis'!$BU12,Outcomes!$Q:$Q,BX$1)+COUNTIFS(Outcomes!$V:$V,'Quant analysis'!$BU12,Outcomes!$Q:$Q,BX$1)+COUNTIFS(Outcomes!$W:$W,'Quant analysis'!$BU12,Outcomes!$Q:$Q,BX$1)+COUNTIFS(Outcomes!$X:$X,'Quant analysis'!$BU12,Outcomes!$Q:$Q,BX$1)+COUNTIFS(Outcomes!$Y:$Y,'Quant analysis'!$BU12,Outcomes!$Q:$Q,BX$1)</f>
        <v>0</v>
      </c>
      <c r="BY12" s="19">
        <f>COUNTIFS(Outcomes!$U:$U,'Quant analysis'!$BU12,Outcomes!$Q:$Q,BY$1)+COUNTIFS(Outcomes!$V:$V,'Quant analysis'!$BU12,Outcomes!$Q:$Q,BY$1)+COUNTIFS(Outcomes!$W:$W,'Quant analysis'!$BU12,Outcomes!$Q:$Q,BY$1)+COUNTIFS(Outcomes!$X:$X,'Quant analysis'!$BU12,Outcomes!$Q:$Q,BY$1)+COUNTIFS(Outcomes!$Y:$Y,'Quant analysis'!$BU12,Outcomes!$Q:$Q,BY$1)</f>
        <v>0</v>
      </c>
      <c r="BZ12" s="19">
        <f>COUNTIFS(Outcomes!$U:$U,'Quant analysis'!$BU12,Outcomes!$Q:$Q,BZ$1)+COUNTIFS(Outcomes!$V:$V,'Quant analysis'!$BU12,Outcomes!$Q:$Q,BZ$1)+COUNTIFS(Outcomes!$W:$W,'Quant analysis'!$BU12,Outcomes!$Q:$Q,BZ$1)+COUNTIFS(Outcomes!$X:$X,'Quant analysis'!$BU12,Outcomes!$Q:$Q,BZ$1)+COUNTIFS(Outcomes!$Y:$Y,'Quant analysis'!$BU12,Outcomes!$Q:$Q,BZ$1)</f>
        <v>0</v>
      </c>
      <c r="CA12" s="19">
        <f>COUNTIFS(Outcomes!$U:$U,'Quant analysis'!$BU12,Outcomes!$Q:$Q,CA$1)+COUNTIFS(Outcomes!$V:$V,'Quant analysis'!$BU12,Outcomes!$Q:$Q,CA$1)+COUNTIFS(Outcomes!$W:$W,'Quant analysis'!$BU12,Outcomes!$Q:$Q,CA$1)+COUNTIFS(Outcomes!$X:$X,'Quant analysis'!$BU12,Outcomes!$Q:$Q,CA$1)+COUNTIFS(Outcomes!$Y:$Y,'Quant analysis'!$BU12,Outcomes!$Q:$Q,CA$1)</f>
        <v>0</v>
      </c>
      <c r="CB12" s="105">
        <f>COUNTIFS(Outcomes!$U:$U,'Quant analysis'!$BU12,Outcomes!$Q:$Q,CB$1)+COUNTIFS(Outcomes!$V:$V,'Quant analysis'!$BU12,Outcomes!$Q:$Q,CB$1)+COUNTIFS(Outcomes!$W:$W,'Quant analysis'!$BU12,Outcomes!$Q:$Q,CB$1)+COUNTIFS(Outcomes!$X:$X,'Quant analysis'!$BU12,Outcomes!$Q:$Q,CB$1)+COUNTIFS(Outcomes!$Y:$Y,'Quant analysis'!$BU12,Outcomes!$Q:$Q,CB$1)</f>
        <v>0</v>
      </c>
      <c r="CC12" s="105">
        <f>COUNTIFS(Outcomes!$U:$U,'Quant analysis'!$BU12,Outcomes!$Q:$Q,CC$1)+COUNTIFS(Outcomes!$V:$V,'Quant analysis'!$BU12,Outcomes!$Q:$Q,CC$1)+COUNTIFS(Outcomes!$W:$W,'Quant analysis'!$BU12,Outcomes!$Q:$Q,CC$1)+COUNTIFS(Outcomes!$X:$X,'Quant analysis'!$BU12,Outcomes!$Q:$Q,CC$1)+COUNTIFS(Outcomes!$Y:$Y,'Quant analysis'!$BU12,Outcomes!$Q:$Q,CC$1)</f>
        <v>0</v>
      </c>
      <c r="CD12" s="105">
        <f>COUNTIFS(Outcomes!$U:$U,'Quant analysis'!$BU12,Outcomes!$Q:$Q,CD$1)+COUNTIFS(Outcomes!$V:$V,'Quant analysis'!$BU12,Outcomes!$Q:$Q,CD$1)+COUNTIFS(Outcomes!$W:$W,'Quant analysis'!$BU12,Outcomes!$Q:$Q,CD$1)+COUNTIFS(Outcomes!$X:$X,'Quant analysis'!$BU12,Outcomes!$Q:$Q,CD$1)+COUNTIFS(Outcomes!$Y:$Y,'Quant analysis'!$BU12,Outcomes!$Q:$Q,CD$1)</f>
        <v>0</v>
      </c>
      <c r="CE12" s="105">
        <f>COUNTIFS(Outcomes!$U:$U,'Quant analysis'!$BU12,Outcomes!$Q:$Q,CE$1)+COUNTIFS(Outcomes!$V:$V,'Quant analysis'!$BU12,Outcomes!$Q:$Q,CE$1)+COUNTIFS(Outcomes!$W:$W,'Quant analysis'!$BU12,Outcomes!$Q:$Q,CE$1)+COUNTIFS(Outcomes!$X:$X,'Quant analysis'!$BU12,Outcomes!$Q:$Q,CE$1)+COUNTIFS(Outcomes!$Y:$Y,'Quant analysis'!$BU12,Outcomes!$Q:$Q,CE$1)</f>
        <v>0</v>
      </c>
      <c r="CF12" s="129">
        <f t="shared" si="4"/>
        <v>0</v>
      </c>
      <c r="CG12" s="130"/>
      <c r="CH12" s="130"/>
      <c r="CI12" s="130"/>
      <c r="CJ12" s="130"/>
      <c r="CK12" s="130"/>
      <c r="CL12" s="130"/>
      <c r="CM12" s="130"/>
      <c r="CN12" s="130"/>
      <c r="CO12" s="130"/>
      <c r="CP12" s="130"/>
      <c r="CQ12" s="130"/>
      <c r="CR12" s="130"/>
      <c r="CS12" s="130"/>
      <c r="CT12" s="130"/>
      <c r="CU12" s="130"/>
      <c r="CV12" s="131"/>
      <c r="CW12" s="68"/>
      <c r="CX12" s="68" t="s">
        <v>9</v>
      </c>
      <c r="CY12" s="68" t="s">
        <v>11</v>
      </c>
      <c r="CZ12" s="68" t="s">
        <v>13</v>
      </c>
      <c r="DA12" s="68" t="s">
        <v>12</v>
      </c>
      <c r="DB12" s="68" t="s">
        <v>10</v>
      </c>
      <c r="DC12" s="68" t="s">
        <v>8</v>
      </c>
      <c r="DD12" s="130" t="s">
        <v>233</v>
      </c>
      <c r="DE12" s="130"/>
      <c r="DF12" s="130"/>
      <c r="DG12" s="130"/>
      <c r="DH12" s="129" t="s">
        <v>239</v>
      </c>
      <c r="DI12" s="129" t="s">
        <v>257</v>
      </c>
      <c r="DJ12" s="68">
        <f t="shared" si="7"/>
        <v>0</v>
      </c>
      <c r="DK12" s="19">
        <f>COUNTIFS(Table1[Level of influence],"subnational",Table1[The Six Conditions of Systems Change (WORK IN PROGRESS)],"Policies",Table1[Output contribution 1],'Quant analysis'!DI12)+COUNTIFS(Table1[Level of influence],"subnational",Table1[The Six Conditions of Systems Change (WORK IN PROGRESS)],"Policies",Table1[Output contribution 2],'Quant analysis'!DI12)+COUNTIFS(Table1[Level of influence],"subnational",Table1[The Six Conditions of Systems Change (WORK IN PROGRESS)],"Policies",Table1[Output contribution 3],'Quant analysis'!DI12)+COUNTIFS(Table1[Level of influence],"subnational",Table1[The Six Conditions of Systems Change (WORK IN PROGRESS)],"Policies",Table1[Output contribution 4],'Quant analysis'!DI12)+COUNTIFS(Table1[Level of influence],"subnational",Table1[The Six Conditions of Systems Change (WORK IN PROGRESS)],"Policies",Table1[Output contribution 5],'Quant analysis'!DI12)+COUNTIFS(Table1[Level of influence],"national",Table1[The Six Conditions of Systems Change (WORK IN PROGRESS)],"Policies",Table1[Output contribution 1],'Quant analysis'!DI12)+COUNTIFS(Table1[Level of influence],"national",Table1[The Six Conditions of Systems Change (WORK IN PROGRESS)],"Policies",Table1[Output contribution 2],'Quant analysis'!DI12)+COUNTIFS(Table1[Level of influence],"national",Table1[The Six Conditions of Systems Change (WORK IN PROGRESS)],"Policies",Table1[Output contribution 3],'Quant analysis'!DI12)+COUNTIFS(Table1[Level of influence],"national",Table1[The Six Conditions of Systems Change (WORK IN PROGRESS)],"Policies",Table1[Output contribution 4],'Quant analysis'!DI12)+COUNTIFS(Table1[Level of influence],"national",Table1[The Six Conditions of Systems Change (WORK IN PROGRESS)],"Policies",Table1[Output contribution 5],'Quant analysis'!DI12)</f>
        <v>0</v>
      </c>
      <c r="DL12" s="19">
        <f>COUNTIFS(Table1[Level of influence],"subnational",Table1[The Six Conditions of Systems Change (WORK IN PROGRESS)],"Practices",Table1[Output contribution 1],'Quant analysis'!$DI12)+COUNTIFS(Table1[Level of influence],"subnational",Table1[The Six Conditions of Systems Change (WORK IN PROGRESS)],"Practices",Table1[Output contribution 2],'Quant analysis'!$DI12)+COUNTIFS(Table1[Level of influence],"subnational",Table1[The Six Conditions of Systems Change (WORK IN PROGRESS)],"Practices",Table1[Output contribution 3],'Quant analysis'!$DI12)+COUNTIFS(Table1[Level of influence],"subnational",Table1[The Six Conditions of Systems Change (WORK IN PROGRESS)],"Practices",Table1[Output contribution 4],'Quant analysis'!$DI12)+COUNTIFS(Table1[Level of influence],"subnational",Table1[The Six Conditions of Systems Change (WORK IN PROGRESS)],"Practices",Table1[Output contribution 5],'Quant analysis'!$DI12)+COUNTIFS(Table1[Level of influence],"national",Table1[The Six Conditions of Systems Change (WORK IN PROGRESS)],"Practices",Table1[Output contribution 1],'Quant analysis'!$DI12)+COUNTIFS(Table1[Level of influence],"national",Table1[The Six Conditions of Systems Change (WORK IN PROGRESS)],"Practices",Table1[Output contribution 2],'Quant analysis'!$DI12)+COUNTIFS(Table1[Level of influence],"national",Table1[The Six Conditions of Systems Change (WORK IN PROGRESS)],"Practices",Table1[Output contribution 3],'Quant analysis'!$DI12)+COUNTIFS(Table1[Level of influence],"national",Table1[The Six Conditions of Systems Change (WORK IN PROGRESS)],"Practices",Table1[Output contribution 4],'Quant analysis'!$DI12)+COUNTIFS(Table1[Level of influence],"national",Table1[The Six Conditions of Systems Change (WORK IN PROGRESS)],"Practices",Table1[Output contribution 5],'Quant analysis'!$DI12)</f>
        <v>0</v>
      </c>
      <c r="DM12" s="19">
        <f>COUNTIFS(Table1[Level of influence],"subnational",Table1[The Six Conditions of Systems Change (WORK IN PROGRESS)],DM$1,Table1[Output contribution 1],'Quant analysis'!$DI12)+COUNTIFS(Table1[Level of influence],"subnational",Table1[The Six Conditions of Systems Change (WORK IN PROGRESS)],DM$1,Table1[Output contribution 2],'Quant analysis'!$DI12)+COUNTIFS(Table1[Level of influence],"subnational",Table1[The Six Conditions of Systems Change (WORK IN PROGRESS)],DM$1,Table1[Output contribution 3],'Quant analysis'!$DI12)+COUNTIFS(Table1[Level of influence],"subnational",Table1[The Six Conditions of Systems Change (WORK IN PROGRESS)],DM$1,Table1[Output contribution 4],'Quant analysis'!$DI12)+COUNTIFS(Table1[Level of influence],"subnational",Table1[The Six Conditions of Systems Change (WORK IN PROGRESS)],DM$1,Table1[Output contribution 5],'Quant analysis'!$DI12)+COUNTIFS(Table1[Level of influence],"national",Table1[The Six Conditions of Systems Change (WORK IN PROGRESS)],DM$1,Table1[Output contribution 1],'Quant analysis'!$DI12)+COUNTIFS(Table1[Level of influence],"national",Table1[The Six Conditions of Systems Change (WORK IN PROGRESS)],DM$1,Table1[Output contribution 2],'Quant analysis'!$DI12)+COUNTIFS(Table1[Level of influence],"national",Table1[The Six Conditions of Systems Change (WORK IN PROGRESS)],DM$1,Table1[Output contribution 3],'Quant analysis'!$DI12)+COUNTIFS(Table1[Level of influence],"national",Table1[The Six Conditions of Systems Change (WORK IN PROGRESS)],DM$1,Table1[Output contribution 4],'Quant analysis'!$DI12)+COUNTIFS(Table1[Level of influence],"national",Table1[The Six Conditions of Systems Change (WORK IN PROGRESS)],DM$1,Table1[Output contribution 5],'Quant analysis'!$DI12)</f>
        <v>0</v>
      </c>
      <c r="DN12" s="19">
        <f>COUNTIFS(Table1[Level of influence],"subnational",Table1[The Six Conditions of Systems Change (WORK IN PROGRESS)],DN$1,Table1[Output contribution 1],'Quant analysis'!$DI12)+COUNTIFS(Table1[Level of influence],"subnational",Table1[The Six Conditions of Systems Change (WORK IN PROGRESS)],DN$1,Table1[Output contribution 2],'Quant analysis'!$DI12)+COUNTIFS(Table1[Level of influence],"subnational",Table1[The Six Conditions of Systems Change (WORK IN PROGRESS)],DN$1,Table1[Output contribution 3],'Quant analysis'!$DI12)+COUNTIFS(Table1[Level of influence],"subnational",Table1[The Six Conditions of Systems Change (WORK IN PROGRESS)],DN$1,Table1[Output contribution 4],'Quant analysis'!$DI12)+COUNTIFS(Table1[Level of influence],"subnational",Table1[The Six Conditions of Systems Change (WORK IN PROGRESS)],DN$1,Table1[Output contribution 5],'Quant analysis'!$DI12)+COUNTIFS(Table1[Level of influence],"national",Table1[The Six Conditions of Systems Change (WORK IN PROGRESS)],DN$1,Table1[Output contribution 1],'Quant analysis'!$DI12)+COUNTIFS(Table1[Level of influence],"national",Table1[The Six Conditions of Systems Change (WORK IN PROGRESS)],DN$1,Table1[Output contribution 2],'Quant analysis'!$DI12)+COUNTIFS(Table1[Level of influence],"national",Table1[The Six Conditions of Systems Change (WORK IN PROGRESS)],DN$1,Table1[Output contribution 3],'Quant analysis'!$DI12)+COUNTIFS(Table1[Level of influence],"national",Table1[The Six Conditions of Systems Change (WORK IN PROGRESS)],DN$1,Table1[Output contribution 4],'Quant analysis'!$DI12)+COUNTIFS(Table1[Level of influence],"national",Table1[The Six Conditions of Systems Change (WORK IN PROGRESS)],DN$1,Table1[Output contribution 5],'Quant analysis'!$DI12)</f>
        <v>0</v>
      </c>
      <c r="DO12" s="19">
        <f>COUNTIFS(Table1[Level of influence],"subnational",Table1[The Six Conditions of Systems Change (WORK IN PROGRESS)],DO$1,Table1[Output contribution 1],'Quant analysis'!$DI12)+COUNTIFS(Table1[Level of influence],"subnational",Table1[The Six Conditions of Systems Change (WORK IN PROGRESS)],DO$1,Table1[Output contribution 2],'Quant analysis'!$DI12)+COUNTIFS(Table1[Level of influence],"subnational",Table1[The Six Conditions of Systems Change (WORK IN PROGRESS)],DO$1,Table1[Output contribution 3],'Quant analysis'!$DI12)+COUNTIFS(Table1[Level of influence],"subnational",Table1[The Six Conditions of Systems Change (WORK IN PROGRESS)],DO$1,Table1[Output contribution 4],'Quant analysis'!$DI12)+COUNTIFS(Table1[Level of influence],"subnational",Table1[The Six Conditions of Systems Change (WORK IN PROGRESS)],DO$1,Table1[Output contribution 5],'Quant analysis'!$DI12)+COUNTIFS(Table1[Level of influence],"national",Table1[The Six Conditions of Systems Change (WORK IN PROGRESS)],DO$1,Table1[Output contribution 1],'Quant analysis'!$DI12)+COUNTIFS(Table1[Level of influence],"national",Table1[The Six Conditions of Systems Change (WORK IN PROGRESS)],DO$1,Table1[Output contribution 2],'Quant analysis'!$DI12)+COUNTIFS(Table1[Level of influence],"national",Table1[The Six Conditions of Systems Change (WORK IN PROGRESS)],DO$1,Table1[Output contribution 3],'Quant analysis'!$DI12)+COUNTIFS(Table1[Level of influence],"national",Table1[The Six Conditions of Systems Change (WORK IN PROGRESS)],DO$1,Table1[Output contribution 4],'Quant analysis'!$DI12)+COUNTIFS(Table1[Level of influence],"national",Table1[The Six Conditions of Systems Change (WORK IN PROGRESS)],DO$1,Table1[Output contribution 5],'Quant analysis'!$DI12)</f>
        <v>0</v>
      </c>
      <c r="DP12" s="19">
        <f>COUNTIFS(Table1[Level of influence],"subnational",Table1[The Six Conditions of Systems Change (WORK IN PROGRESS)],DP$1,Table1[Output contribution 1],'Quant analysis'!$DI12)+COUNTIFS(Table1[Level of influence],"subnational",Table1[The Six Conditions of Systems Change (WORK IN PROGRESS)],DP$1,Table1[Output contribution 2],'Quant analysis'!$DI12)+COUNTIFS(Table1[Level of influence],"subnational",Table1[The Six Conditions of Systems Change (WORK IN PROGRESS)],DP$1,Table1[Output contribution 3],'Quant analysis'!$DI12)+COUNTIFS(Table1[Level of influence],"subnational",Table1[The Six Conditions of Systems Change (WORK IN PROGRESS)],DP$1,Table1[Output contribution 4],'Quant analysis'!$DI12)+COUNTIFS(Table1[Level of influence],"subnational",Table1[The Six Conditions of Systems Change (WORK IN PROGRESS)],DP$1,Table1[Output contribution 5],'Quant analysis'!$DI12)+COUNTIFS(Table1[Level of influence],"national",Table1[The Six Conditions of Systems Change (WORK IN PROGRESS)],DP$1,Table1[Output contribution 1],'Quant analysis'!$DI12)+COUNTIFS(Table1[Level of influence],"national",Table1[The Six Conditions of Systems Change (WORK IN PROGRESS)],DP$1,Table1[Output contribution 2],'Quant analysis'!$DI12)+COUNTIFS(Table1[Level of influence],"national",Table1[The Six Conditions of Systems Change (WORK IN PROGRESS)],DP$1,Table1[Output contribution 3],'Quant analysis'!$DI12)+COUNTIFS(Table1[Level of influence],"national",Table1[The Six Conditions of Systems Change (WORK IN PROGRESS)],DP$1,Table1[Output contribution 4],'Quant analysis'!$DI12)+COUNTIFS(Table1[Level of influence],"national",Table1[The Six Conditions of Systems Change (WORK IN PROGRESS)],DP$1,Table1[Output contribution 5],'Quant analysis'!$DI12)</f>
        <v>0</v>
      </c>
      <c r="DQ12" s="130"/>
      <c r="DR12" s="130"/>
      <c r="DS12" s="157" t="s">
        <v>258</v>
      </c>
      <c r="DT12" s="129">
        <f>COUNTIFS(Table1[The Six Conditions of Systems Change (WORK IN PROGRESS)],'Quant analysis'!DT$1,Table1[Level of influence],"subnational",Table1['# of quarters between first contribution statement ],'Quant analysis'!$DS12)+COUNTIFS(Table1[The Six Conditions of Systems Change (WORK IN PROGRESS)],'Quant analysis'!DT$1,Table1[Level of influence],"national",Table1['# of quarters between first contribution statement ],'Quant analysis'!$DS12)</f>
        <v>0</v>
      </c>
      <c r="DU12" s="129">
        <f>COUNTIFS(Table1[The Six Conditions of Systems Change (WORK IN PROGRESS)],'Quant analysis'!DU$1,Table1[Level of influence],"subnational",Table1['# of quarters between first contribution statement ],'Quant analysis'!$DS12)+COUNTIFS(Table1[The Six Conditions of Systems Change (WORK IN PROGRESS)],'Quant analysis'!DU$1,Table1[Level of influence],"national",Table1['# of quarters between first contribution statement ],'Quant analysis'!$DS12)</f>
        <v>0</v>
      </c>
      <c r="DV12" s="129">
        <f>COUNTIFS(Table1[The Six Conditions of Systems Change (WORK IN PROGRESS)],'Quant analysis'!DV$1,Table1[Level of influence],"subnational",Table1['# of quarters between first contribution statement ],'Quant analysis'!$DS12)+COUNTIFS(Table1[The Six Conditions of Systems Change (WORK IN PROGRESS)],'Quant analysis'!DV$1,Table1[Level of influence],"national",Table1['# of quarters between first contribution statement ],'Quant analysis'!$DS12)</f>
        <v>0</v>
      </c>
      <c r="DW12" s="129">
        <f>COUNTIFS(Table1[The Six Conditions of Systems Change (WORK IN PROGRESS)],'Quant analysis'!DW$1,Table1[Level of influence],"subnational",Table1['# of quarters between first contribution statement ],'Quant analysis'!$DS12)+COUNTIFS(Table1[The Six Conditions of Systems Change (WORK IN PROGRESS)],'Quant analysis'!DW$1,Table1[Level of influence],"national",Table1['# of quarters between first contribution statement ],'Quant analysis'!$DS12)</f>
        <v>0</v>
      </c>
      <c r="DX12" s="129">
        <f>COUNTIFS(Table1[The Six Conditions of Systems Change (WORK IN PROGRESS)],'Quant analysis'!DX$1,Table1[Level of influence],"subnational",Table1['# of quarters between first contribution statement ],'Quant analysis'!$DS12)+COUNTIFS(Table1[The Six Conditions of Systems Change (WORK IN PROGRESS)],'Quant analysis'!DX$1,Table1[Level of influence],"national",Table1['# of quarters between first contribution statement ],'Quant analysis'!$DS12)</f>
        <v>0</v>
      </c>
      <c r="DY12" s="129">
        <f>COUNTIFS(Table1[The Six Conditions of Systems Change (WORK IN PROGRESS)],'Quant analysis'!DY$1,Table1[Level of influence],"subnational",Table1['# of quarters between first contribution statement ],'Quant analysis'!$DS12)+COUNTIFS(Table1[The Six Conditions of Systems Change (WORK IN PROGRESS)],'Quant analysis'!DY$1,Table1[Level of influence],"national",Table1['# of quarters between first contribution statement ],'Quant analysis'!$DS12)</f>
        <v>0</v>
      </c>
      <c r="DZ12" s="129"/>
      <c r="EA12" s="130"/>
      <c r="EB12" s="68"/>
      <c r="EC12" s="68" t="s">
        <v>9</v>
      </c>
      <c r="ED12" s="68" t="s">
        <v>11</v>
      </c>
      <c r="EE12" s="68" t="s">
        <v>13</v>
      </c>
      <c r="EF12" s="68" t="s">
        <v>12</v>
      </c>
      <c r="EG12" s="68" t="s">
        <v>10</v>
      </c>
      <c r="EH12" s="68" t="s">
        <v>8</v>
      </c>
      <c r="EI12" s="130"/>
      <c r="EJ12" s="130"/>
      <c r="EK12" s="130"/>
      <c r="EL12" s="130"/>
      <c r="EM12" s="68"/>
      <c r="EN12" s="68" t="s">
        <v>9</v>
      </c>
      <c r="EO12" s="68" t="s">
        <v>11</v>
      </c>
      <c r="EP12" s="68" t="s">
        <v>13</v>
      </c>
      <c r="EQ12" s="68" t="s">
        <v>12</v>
      </c>
      <c r="ER12" s="68" t="s">
        <v>10</v>
      </c>
      <c r="ES12" s="68" t="s">
        <v>8</v>
      </c>
      <c r="ET12" s="130"/>
      <c r="EU12" s="130"/>
      <c r="EV12" s="130"/>
      <c r="EW12" s="68"/>
      <c r="EX12" s="68" t="s">
        <v>9</v>
      </c>
      <c r="EY12" s="68" t="s">
        <v>11</v>
      </c>
      <c r="EZ12" s="68" t="s">
        <v>13</v>
      </c>
      <c r="FA12" s="68" t="s">
        <v>12</v>
      </c>
      <c r="FB12" s="68" t="s">
        <v>10</v>
      </c>
      <c r="FC12" s="68" t="s">
        <v>8</v>
      </c>
      <c r="FD12" s="130"/>
      <c r="FE12" s="130"/>
    </row>
    <row r="13" spans="1:161" x14ac:dyDescent="0.2">
      <c r="A13" s="67" t="s">
        <v>142</v>
      </c>
      <c r="B13" s="129">
        <f>COUNTIF(Outcomes!Q:Q,'Quant analysis'!A13)</f>
        <v>0</v>
      </c>
      <c r="C13" s="130"/>
      <c r="D13" s="130"/>
      <c r="E13" s="130"/>
      <c r="F13" s="130"/>
      <c r="G13" s="130"/>
      <c r="H13" s="130"/>
      <c r="I13" s="130"/>
      <c r="J13" s="130"/>
      <c r="K13" s="130"/>
      <c r="L13" s="130"/>
      <c r="M13" s="130"/>
      <c r="N13" s="130"/>
      <c r="O13" s="130"/>
      <c r="P13" s="130"/>
      <c r="Q13" s="130"/>
      <c r="R13" s="130"/>
      <c r="S13" s="130" t="s">
        <v>244</v>
      </c>
      <c r="T13" s="129" t="s">
        <v>160</v>
      </c>
      <c r="U13" s="129">
        <f>COUNTIF(Outcomes!$L:$L,'Quant analysis'!$T13)</f>
        <v>0</v>
      </c>
      <c r="V13" s="19">
        <f>COUNTIFS(Outcomes!$L:$L,'Quant analysis'!$T13,Outcomes!$Q:$Q,V$1)</f>
        <v>0</v>
      </c>
      <c r="W13" s="19">
        <f>COUNTIFS(Outcomes!$L:$L,'Quant analysis'!$T13,Outcomes!$Q:$Q,W$1)</f>
        <v>0</v>
      </c>
      <c r="X13" s="19">
        <f>COUNTIFS(Outcomes!$L:$L,'Quant analysis'!$T13,Outcomes!$Q:$Q,X$1)</f>
        <v>0</v>
      </c>
      <c r="Y13" s="19">
        <f>COUNTIFS(Outcomes!$L:$L,'Quant analysis'!$T13,Outcomes!$Q:$Q,Y$1)</f>
        <v>0</v>
      </c>
      <c r="Z13" s="19">
        <f>COUNTIFS(Outcomes!$L:$L,'Quant analysis'!$T13,Outcomes!$Q:$Q,Z$1)</f>
        <v>0</v>
      </c>
      <c r="AA13" s="105">
        <f>COUNTIFS(Outcomes!$L:$L,'Quant analysis'!$T13,Outcomes!$Q:$Q,AA$1)</f>
        <v>0</v>
      </c>
      <c r="AB13" s="105">
        <f>COUNTIFS(Outcomes!$L:$L,'Quant analysis'!$T13,Outcomes!$Q:$Q,AB$1)</f>
        <v>0</v>
      </c>
      <c r="AC13" s="105">
        <f>COUNTIFS(Outcomes!$L:$L,'Quant analysis'!$T13,Outcomes!$Q:$Q,AC$1)</f>
        <v>0</v>
      </c>
      <c r="AD13" s="105">
        <f>COUNTIFS(Outcomes!$L:$L,'Quant analysis'!$T13,Outcomes!$Q:$Q,AD$1)</f>
        <v>0</v>
      </c>
      <c r="AE13" s="130">
        <f t="shared" si="0"/>
        <v>0</v>
      </c>
      <c r="AF13" s="130"/>
      <c r="AG13" s="14" t="s">
        <v>91</v>
      </c>
      <c r="AH13" s="129">
        <f>COUNTIF(Outcomes!O:O,'Quant analysis'!AG13)</f>
        <v>0</v>
      </c>
      <c r="AI13" s="19">
        <f>COUNTIFS(Outcomes!$O:$O,'Quant analysis'!$AG13,Outcomes!$Q:$Q,AI$1)</f>
        <v>0</v>
      </c>
      <c r="AJ13" s="19">
        <f>COUNTIFS(Outcomes!$O:$O,'Quant analysis'!$AG13,Outcomes!$Q:$Q,AJ$1)</f>
        <v>0</v>
      </c>
      <c r="AK13" s="19">
        <f>COUNTIFS(Outcomes!$O:$O,'Quant analysis'!$AG13,Outcomes!$Q:$Q,AK$1)</f>
        <v>0</v>
      </c>
      <c r="AL13" s="19">
        <f>COUNTIFS(Outcomes!$O:$O,'Quant analysis'!$AG13,Outcomes!$Q:$Q,AL$1)</f>
        <v>0</v>
      </c>
      <c r="AM13" s="19">
        <f>COUNTIFS(Outcomes!$O:$O,'Quant analysis'!$AG13,Outcomes!$Q:$Q,AM$1)</f>
        <v>0</v>
      </c>
      <c r="AN13" s="105">
        <f>COUNTIFS(Outcomes!$O:$O,'Quant analysis'!$AG13,Outcomes!$Q:$Q,AN$1)</f>
        <v>0</v>
      </c>
      <c r="AO13" s="105">
        <f>COUNTIFS(Outcomes!$O:$O,'Quant analysis'!$AG13,Outcomes!$Q:$Q,AO$1)</f>
        <v>0</v>
      </c>
      <c r="AP13" s="105">
        <f>COUNTIFS(Outcomes!$O:$O,'Quant analysis'!$AG13,Outcomes!$Q:$Q,AP$1)</f>
        <v>0</v>
      </c>
      <c r="AQ13" s="105">
        <f>COUNTIFS(Outcomes!$O:$O,'Quant analysis'!$AG13,Outcomes!$Q:$Q,AQ$1)</f>
        <v>0</v>
      </c>
      <c r="AR13" s="130">
        <f t="shared" si="1"/>
        <v>0</v>
      </c>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29" t="s">
        <v>239</v>
      </c>
      <c r="BU13" s="129" t="s">
        <v>196</v>
      </c>
      <c r="BV13" s="68">
        <f>COUNTIF(Outcomes!U:Y,'Quant analysis'!BU13)</f>
        <v>0</v>
      </c>
      <c r="BW13" s="19">
        <f>COUNTIFS(Outcomes!$U:$U,'Quant analysis'!$BU13,Outcomes!$Q:$Q,BW$1)+COUNTIFS(Outcomes!$V:$V,'Quant analysis'!$BU13,Outcomes!$Q:$Q,BW$1)+COUNTIFS(Outcomes!$W:$W,'Quant analysis'!$BU13,Outcomes!$Q:$Q,BW$1)+COUNTIFS(Outcomes!$X:$X,'Quant analysis'!$BU13,Outcomes!$Q:$Q,BW$1)+COUNTIFS(Outcomes!$Y:$Y,'Quant analysis'!$BU13,Outcomes!$Q:$Q,BW$1)</f>
        <v>0</v>
      </c>
      <c r="BX13" s="19">
        <f>COUNTIFS(Outcomes!$U:$U,'Quant analysis'!$BU13,Outcomes!$Q:$Q,BX$1)+COUNTIFS(Outcomes!$V:$V,'Quant analysis'!$BU13,Outcomes!$Q:$Q,BX$1)+COUNTIFS(Outcomes!$W:$W,'Quant analysis'!$BU13,Outcomes!$Q:$Q,BX$1)+COUNTIFS(Outcomes!$X:$X,'Quant analysis'!$BU13,Outcomes!$Q:$Q,BX$1)+COUNTIFS(Outcomes!$Y:$Y,'Quant analysis'!$BU13,Outcomes!$Q:$Q,BX$1)</f>
        <v>0</v>
      </c>
      <c r="BY13" s="19">
        <f>COUNTIFS(Outcomes!$U:$U,'Quant analysis'!$BU13,Outcomes!$Q:$Q,BY$1)+COUNTIFS(Outcomes!$V:$V,'Quant analysis'!$BU13,Outcomes!$Q:$Q,BY$1)+COUNTIFS(Outcomes!$W:$W,'Quant analysis'!$BU13,Outcomes!$Q:$Q,BY$1)+COUNTIFS(Outcomes!$X:$X,'Quant analysis'!$BU13,Outcomes!$Q:$Q,BY$1)+COUNTIFS(Outcomes!$Y:$Y,'Quant analysis'!$BU13,Outcomes!$Q:$Q,BY$1)</f>
        <v>0</v>
      </c>
      <c r="BZ13" s="19">
        <f>COUNTIFS(Outcomes!$U:$U,'Quant analysis'!$BU13,Outcomes!$Q:$Q,BZ$1)+COUNTIFS(Outcomes!$V:$V,'Quant analysis'!$BU13,Outcomes!$Q:$Q,BZ$1)+COUNTIFS(Outcomes!$W:$W,'Quant analysis'!$BU13,Outcomes!$Q:$Q,BZ$1)+COUNTIFS(Outcomes!$X:$X,'Quant analysis'!$BU13,Outcomes!$Q:$Q,BZ$1)+COUNTIFS(Outcomes!$Y:$Y,'Quant analysis'!$BU13,Outcomes!$Q:$Q,BZ$1)</f>
        <v>0</v>
      </c>
      <c r="CA13" s="19">
        <f>COUNTIFS(Outcomes!$U:$U,'Quant analysis'!$BU13,Outcomes!$Q:$Q,CA$1)+COUNTIFS(Outcomes!$V:$V,'Quant analysis'!$BU13,Outcomes!$Q:$Q,CA$1)+COUNTIFS(Outcomes!$W:$W,'Quant analysis'!$BU13,Outcomes!$Q:$Q,CA$1)+COUNTIFS(Outcomes!$X:$X,'Quant analysis'!$BU13,Outcomes!$Q:$Q,CA$1)+COUNTIFS(Outcomes!$Y:$Y,'Quant analysis'!$BU13,Outcomes!$Q:$Q,CA$1)</f>
        <v>0</v>
      </c>
      <c r="CB13" s="105">
        <f>COUNTIFS(Outcomes!$U:$U,'Quant analysis'!$BU13,Outcomes!$Q:$Q,CB$1)+COUNTIFS(Outcomes!$V:$V,'Quant analysis'!$BU13,Outcomes!$Q:$Q,CB$1)+COUNTIFS(Outcomes!$W:$W,'Quant analysis'!$BU13,Outcomes!$Q:$Q,CB$1)+COUNTIFS(Outcomes!$X:$X,'Quant analysis'!$BU13,Outcomes!$Q:$Q,CB$1)+COUNTIFS(Outcomes!$Y:$Y,'Quant analysis'!$BU13,Outcomes!$Q:$Q,CB$1)</f>
        <v>0</v>
      </c>
      <c r="CC13" s="105">
        <f>COUNTIFS(Outcomes!$U:$U,'Quant analysis'!$BU13,Outcomes!$Q:$Q,CC$1)+COUNTIFS(Outcomes!$V:$V,'Quant analysis'!$BU13,Outcomes!$Q:$Q,CC$1)+COUNTIFS(Outcomes!$W:$W,'Quant analysis'!$BU13,Outcomes!$Q:$Q,CC$1)+COUNTIFS(Outcomes!$X:$X,'Quant analysis'!$BU13,Outcomes!$Q:$Q,CC$1)+COUNTIFS(Outcomes!$Y:$Y,'Quant analysis'!$BU13,Outcomes!$Q:$Q,CC$1)</f>
        <v>0</v>
      </c>
      <c r="CD13" s="105">
        <f>COUNTIFS(Outcomes!$U:$U,'Quant analysis'!$BU13,Outcomes!$Q:$Q,CD$1)+COUNTIFS(Outcomes!$V:$V,'Quant analysis'!$BU13,Outcomes!$Q:$Q,CD$1)+COUNTIFS(Outcomes!$W:$W,'Quant analysis'!$BU13,Outcomes!$Q:$Q,CD$1)+COUNTIFS(Outcomes!$X:$X,'Quant analysis'!$BU13,Outcomes!$Q:$Q,CD$1)+COUNTIFS(Outcomes!$Y:$Y,'Quant analysis'!$BU13,Outcomes!$Q:$Q,CD$1)</f>
        <v>0</v>
      </c>
      <c r="CE13" s="105">
        <f>COUNTIFS(Outcomes!$U:$U,'Quant analysis'!$BU13,Outcomes!$Q:$Q,CE$1)+COUNTIFS(Outcomes!$V:$V,'Quant analysis'!$BU13,Outcomes!$Q:$Q,CE$1)+COUNTIFS(Outcomes!$W:$W,'Quant analysis'!$BU13,Outcomes!$Q:$Q,CE$1)+COUNTIFS(Outcomes!$X:$X,'Quant analysis'!$BU13,Outcomes!$Q:$Q,CE$1)+COUNTIFS(Outcomes!$Y:$Y,'Quant analysis'!$BU13,Outcomes!$Q:$Q,CE$1)</f>
        <v>0</v>
      </c>
      <c r="CF13" s="129">
        <f t="shared" si="4"/>
        <v>0</v>
      </c>
      <c r="CG13" s="130"/>
      <c r="CH13" s="130"/>
      <c r="CI13" s="130"/>
      <c r="CJ13" s="130"/>
      <c r="CK13" s="130"/>
      <c r="CL13" s="130"/>
      <c r="CM13" s="130"/>
      <c r="CN13" s="130"/>
      <c r="CO13" s="130"/>
      <c r="CP13" s="130"/>
      <c r="CQ13" s="130"/>
      <c r="CR13" s="130"/>
      <c r="CS13" s="130"/>
      <c r="CT13" s="130"/>
      <c r="CU13" s="130"/>
      <c r="CV13" s="131"/>
      <c r="CW13" s="68" t="s">
        <v>259</v>
      </c>
      <c r="CX13" s="129">
        <f>CZ2</f>
        <v>0</v>
      </c>
      <c r="CY13" s="129">
        <f>CZ3</f>
        <v>0</v>
      </c>
      <c r="CZ13" s="129">
        <f>CZ4</f>
        <v>0</v>
      </c>
      <c r="DA13" s="129"/>
      <c r="DB13" s="129"/>
      <c r="DC13" s="129"/>
      <c r="DD13" s="130">
        <f>SUM(CX13:DC13)</f>
        <v>0</v>
      </c>
      <c r="DE13" s="130"/>
      <c r="DF13" s="130"/>
      <c r="DG13" s="130"/>
      <c r="DH13" s="129" t="s">
        <v>239</v>
      </c>
      <c r="DI13" s="129" t="s">
        <v>196</v>
      </c>
      <c r="DJ13" s="68">
        <f t="shared" si="7"/>
        <v>0</v>
      </c>
      <c r="DK13" s="19">
        <f>COUNTIFS(Table1[Level of influence],"subnational",Table1[The Six Conditions of Systems Change (WORK IN PROGRESS)],"Policies",Table1[Output contribution 1],'Quant analysis'!DI13)+COUNTIFS(Table1[Level of influence],"subnational",Table1[The Six Conditions of Systems Change (WORK IN PROGRESS)],"Policies",Table1[Output contribution 2],'Quant analysis'!DI13)+COUNTIFS(Table1[Level of influence],"subnational",Table1[The Six Conditions of Systems Change (WORK IN PROGRESS)],"Policies",Table1[Output contribution 3],'Quant analysis'!DI13)+COUNTIFS(Table1[Level of influence],"subnational",Table1[The Six Conditions of Systems Change (WORK IN PROGRESS)],"Policies",Table1[Output contribution 4],'Quant analysis'!DI13)+COUNTIFS(Table1[Level of influence],"subnational",Table1[The Six Conditions of Systems Change (WORK IN PROGRESS)],"Policies",Table1[Output contribution 5],'Quant analysis'!DI13)+COUNTIFS(Table1[Level of influence],"national",Table1[The Six Conditions of Systems Change (WORK IN PROGRESS)],"Policies",Table1[Output contribution 1],'Quant analysis'!DI13)+COUNTIFS(Table1[Level of influence],"national",Table1[The Six Conditions of Systems Change (WORK IN PROGRESS)],"Policies",Table1[Output contribution 2],'Quant analysis'!DI13)+COUNTIFS(Table1[Level of influence],"national",Table1[The Six Conditions of Systems Change (WORK IN PROGRESS)],"Policies",Table1[Output contribution 3],'Quant analysis'!DI13)+COUNTIFS(Table1[Level of influence],"national",Table1[The Six Conditions of Systems Change (WORK IN PROGRESS)],"Policies",Table1[Output contribution 4],'Quant analysis'!DI13)+COUNTIFS(Table1[Level of influence],"national",Table1[The Six Conditions of Systems Change (WORK IN PROGRESS)],"Policies",Table1[Output contribution 5],'Quant analysis'!DI13)</f>
        <v>0</v>
      </c>
      <c r="DL13" s="19">
        <f>COUNTIFS(Table1[Level of influence],"subnational",Table1[The Six Conditions of Systems Change (WORK IN PROGRESS)],"Practices",Table1[Output contribution 1],'Quant analysis'!$DI13)+COUNTIFS(Table1[Level of influence],"subnational",Table1[The Six Conditions of Systems Change (WORK IN PROGRESS)],"Practices",Table1[Output contribution 2],'Quant analysis'!$DI13)+COUNTIFS(Table1[Level of influence],"subnational",Table1[The Six Conditions of Systems Change (WORK IN PROGRESS)],"Practices",Table1[Output contribution 3],'Quant analysis'!$DI13)+COUNTIFS(Table1[Level of influence],"subnational",Table1[The Six Conditions of Systems Change (WORK IN PROGRESS)],"Practices",Table1[Output contribution 4],'Quant analysis'!$DI13)+COUNTIFS(Table1[Level of influence],"subnational",Table1[The Six Conditions of Systems Change (WORK IN PROGRESS)],"Practices",Table1[Output contribution 5],'Quant analysis'!$DI13)+COUNTIFS(Table1[Level of influence],"national",Table1[The Six Conditions of Systems Change (WORK IN PROGRESS)],"Practices",Table1[Output contribution 1],'Quant analysis'!$DI13)+COUNTIFS(Table1[Level of influence],"national",Table1[The Six Conditions of Systems Change (WORK IN PROGRESS)],"Practices",Table1[Output contribution 2],'Quant analysis'!$DI13)+COUNTIFS(Table1[Level of influence],"national",Table1[The Six Conditions of Systems Change (WORK IN PROGRESS)],"Practices",Table1[Output contribution 3],'Quant analysis'!$DI13)+COUNTIFS(Table1[Level of influence],"national",Table1[The Six Conditions of Systems Change (WORK IN PROGRESS)],"Practices",Table1[Output contribution 4],'Quant analysis'!$DI13)+COUNTIFS(Table1[Level of influence],"national",Table1[The Six Conditions of Systems Change (WORK IN PROGRESS)],"Practices",Table1[Output contribution 5],'Quant analysis'!$DI13)</f>
        <v>0</v>
      </c>
      <c r="DM13" s="19">
        <f>COUNTIFS(Table1[Level of influence],"subnational",Table1[The Six Conditions of Systems Change (WORK IN PROGRESS)],DM$1,Table1[Output contribution 1],'Quant analysis'!$DI13)+COUNTIFS(Table1[Level of influence],"subnational",Table1[The Six Conditions of Systems Change (WORK IN PROGRESS)],DM$1,Table1[Output contribution 2],'Quant analysis'!$DI13)+COUNTIFS(Table1[Level of influence],"subnational",Table1[The Six Conditions of Systems Change (WORK IN PROGRESS)],DM$1,Table1[Output contribution 3],'Quant analysis'!$DI13)+COUNTIFS(Table1[Level of influence],"subnational",Table1[The Six Conditions of Systems Change (WORK IN PROGRESS)],DM$1,Table1[Output contribution 4],'Quant analysis'!$DI13)+COUNTIFS(Table1[Level of influence],"subnational",Table1[The Six Conditions of Systems Change (WORK IN PROGRESS)],DM$1,Table1[Output contribution 5],'Quant analysis'!$DI13)+COUNTIFS(Table1[Level of influence],"national",Table1[The Six Conditions of Systems Change (WORK IN PROGRESS)],DM$1,Table1[Output contribution 1],'Quant analysis'!$DI13)+COUNTIFS(Table1[Level of influence],"national",Table1[The Six Conditions of Systems Change (WORK IN PROGRESS)],DM$1,Table1[Output contribution 2],'Quant analysis'!$DI13)+COUNTIFS(Table1[Level of influence],"national",Table1[The Six Conditions of Systems Change (WORK IN PROGRESS)],DM$1,Table1[Output contribution 3],'Quant analysis'!$DI13)+COUNTIFS(Table1[Level of influence],"national",Table1[The Six Conditions of Systems Change (WORK IN PROGRESS)],DM$1,Table1[Output contribution 4],'Quant analysis'!$DI13)+COUNTIFS(Table1[Level of influence],"national",Table1[The Six Conditions of Systems Change (WORK IN PROGRESS)],DM$1,Table1[Output contribution 5],'Quant analysis'!$DI13)</f>
        <v>0</v>
      </c>
      <c r="DN13" s="19">
        <f>COUNTIFS(Table1[Level of influence],"subnational",Table1[The Six Conditions of Systems Change (WORK IN PROGRESS)],DN$1,Table1[Output contribution 1],'Quant analysis'!$DI13)+COUNTIFS(Table1[Level of influence],"subnational",Table1[The Six Conditions of Systems Change (WORK IN PROGRESS)],DN$1,Table1[Output contribution 2],'Quant analysis'!$DI13)+COUNTIFS(Table1[Level of influence],"subnational",Table1[The Six Conditions of Systems Change (WORK IN PROGRESS)],DN$1,Table1[Output contribution 3],'Quant analysis'!$DI13)+COUNTIFS(Table1[Level of influence],"subnational",Table1[The Six Conditions of Systems Change (WORK IN PROGRESS)],DN$1,Table1[Output contribution 4],'Quant analysis'!$DI13)+COUNTIFS(Table1[Level of influence],"subnational",Table1[The Six Conditions of Systems Change (WORK IN PROGRESS)],DN$1,Table1[Output contribution 5],'Quant analysis'!$DI13)+COUNTIFS(Table1[Level of influence],"national",Table1[The Six Conditions of Systems Change (WORK IN PROGRESS)],DN$1,Table1[Output contribution 1],'Quant analysis'!$DI13)+COUNTIFS(Table1[Level of influence],"national",Table1[The Six Conditions of Systems Change (WORK IN PROGRESS)],DN$1,Table1[Output contribution 2],'Quant analysis'!$DI13)+COUNTIFS(Table1[Level of influence],"national",Table1[The Six Conditions of Systems Change (WORK IN PROGRESS)],DN$1,Table1[Output contribution 3],'Quant analysis'!$DI13)+COUNTIFS(Table1[Level of influence],"national",Table1[The Six Conditions of Systems Change (WORK IN PROGRESS)],DN$1,Table1[Output contribution 4],'Quant analysis'!$DI13)+COUNTIFS(Table1[Level of influence],"national",Table1[The Six Conditions of Systems Change (WORK IN PROGRESS)],DN$1,Table1[Output contribution 5],'Quant analysis'!$DI13)</f>
        <v>0</v>
      </c>
      <c r="DO13" s="19">
        <f>COUNTIFS(Table1[Level of influence],"subnational",Table1[The Six Conditions of Systems Change (WORK IN PROGRESS)],DO$1,Table1[Output contribution 1],'Quant analysis'!$DI13)+COUNTIFS(Table1[Level of influence],"subnational",Table1[The Six Conditions of Systems Change (WORK IN PROGRESS)],DO$1,Table1[Output contribution 2],'Quant analysis'!$DI13)+COUNTIFS(Table1[Level of influence],"subnational",Table1[The Six Conditions of Systems Change (WORK IN PROGRESS)],DO$1,Table1[Output contribution 3],'Quant analysis'!$DI13)+COUNTIFS(Table1[Level of influence],"subnational",Table1[The Six Conditions of Systems Change (WORK IN PROGRESS)],DO$1,Table1[Output contribution 4],'Quant analysis'!$DI13)+COUNTIFS(Table1[Level of influence],"subnational",Table1[The Six Conditions of Systems Change (WORK IN PROGRESS)],DO$1,Table1[Output contribution 5],'Quant analysis'!$DI13)+COUNTIFS(Table1[Level of influence],"national",Table1[The Six Conditions of Systems Change (WORK IN PROGRESS)],DO$1,Table1[Output contribution 1],'Quant analysis'!$DI13)+COUNTIFS(Table1[Level of influence],"national",Table1[The Six Conditions of Systems Change (WORK IN PROGRESS)],DO$1,Table1[Output contribution 2],'Quant analysis'!$DI13)+COUNTIFS(Table1[Level of influence],"national",Table1[The Six Conditions of Systems Change (WORK IN PROGRESS)],DO$1,Table1[Output contribution 3],'Quant analysis'!$DI13)+COUNTIFS(Table1[Level of influence],"national",Table1[The Six Conditions of Systems Change (WORK IN PROGRESS)],DO$1,Table1[Output contribution 4],'Quant analysis'!$DI13)+COUNTIFS(Table1[Level of influence],"national",Table1[The Six Conditions of Systems Change (WORK IN PROGRESS)],DO$1,Table1[Output contribution 5],'Quant analysis'!$DI13)</f>
        <v>0</v>
      </c>
      <c r="DP13" s="19">
        <f>COUNTIFS(Table1[Level of influence],"subnational",Table1[The Six Conditions of Systems Change (WORK IN PROGRESS)],DP$1,Table1[Output contribution 1],'Quant analysis'!$DI13)+COUNTIFS(Table1[Level of influence],"subnational",Table1[The Six Conditions of Systems Change (WORK IN PROGRESS)],DP$1,Table1[Output contribution 2],'Quant analysis'!$DI13)+COUNTIFS(Table1[Level of influence],"subnational",Table1[The Six Conditions of Systems Change (WORK IN PROGRESS)],DP$1,Table1[Output contribution 3],'Quant analysis'!$DI13)+COUNTIFS(Table1[Level of influence],"subnational",Table1[The Six Conditions of Systems Change (WORK IN PROGRESS)],DP$1,Table1[Output contribution 4],'Quant analysis'!$DI13)+COUNTIFS(Table1[Level of influence],"subnational",Table1[The Six Conditions of Systems Change (WORK IN PROGRESS)],DP$1,Table1[Output contribution 5],'Quant analysis'!$DI13)+COUNTIFS(Table1[Level of influence],"national",Table1[The Six Conditions of Systems Change (WORK IN PROGRESS)],DP$1,Table1[Output contribution 1],'Quant analysis'!$DI13)+COUNTIFS(Table1[Level of influence],"national",Table1[The Six Conditions of Systems Change (WORK IN PROGRESS)],DP$1,Table1[Output contribution 2],'Quant analysis'!$DI13)+COUNTIFS(Table1[Level of influence],"national",Table1[The Six Conditions of Systems Change (WORK IN PROGRESS)],DP$1,Table1[Output contribution 3],'Quant analysis'!$DI13)+COUNTIFS(Table1[Level of influence],"national",Table1[The Six Conditions of Systems Change (WORK IN PROGRESS)],DP$1,Table1[Output contribution 4],'Quant analysis'!$DI13)+COUNTIFS(Table1[Level of influence],"national",Table1[The Six Conditions of Systems Change (WORK IN PROGRESS)],DP$1,Table1[Output contribution 5],'Quant analysis'!$DI13)</f>
        <v>0</v>
      </c>
      <c r="DQ13" s="130"/>
      <c r="DR13" s="130"/>
      <c r="DS13" s="157" t="s">
        <v>260</v>
      </c>
      <c r="DT13" s="129">
        <f>COUNTIFS(Table1[The Six Conditions of Systems Change (WORK IN PROGRESS)],'Quant analysis'!DT$1,Table1[Level of influence],"subnational",Table1['# of quarters between first contribution statement ],'Quant analysis'!$DS13)+COUNTIFS(Table1[The Six Conditions of Systems Change (WORK IN PROGRESS)],'Quant analysis'!DT$1,Table1[Level of influence],"national",Table1['# of quarters between first contribution statement ],'Quant analysis'!$DS13)</f>
        <v>0</v>
      </c>
      <c r="DU13" s="129">
        <f>COUNTIFS(Table1[The Six Conditions of Systems Change (WORK IN PROGRESS)],'Quant analysis'!DU$1,Table1[Level of influence],"subnational",Table1['# of quarters between first contribution statement ],'Quant analysis'!$DS13)+COUNTIFS(Table1[The Six Conditions of Systems Change (WORK IN PROGRESS)],'Quant analysis'!DU$1,Table1[Level of influence],"national",Table1['# of quarters between first contribution statement ],'Quant analysis'!$DS13)</f>
        <v>0</v>
      </c>
      <c r="DV13" s="129">
        <f>COUNTIFS(Table1[The Six Conditions of Systems Change (WORK IN PROGRESS)],'Quant analysis'!DV$1,Table1[Level of influence],"subnational",Table1['# of quarters between first contribution statement ],'Quant analysis'!$DS13)+COUNTIFS(Table1[The Six Conditions of Systems Change (WORK IN PROGRESS)],'Quant analysis'!DV$1,Table1[Level of influence],"national",Table1['# of quarters between first contribution statement ],'Quant analysis'!$DS13)</f>
        <v>0</v>
      </c>
      <c r="DW13" s="129">
        <f>COUNTIFS(Table1[The Six Conditions of Systems Change (WORK IN PROGRESS)],'Quant analysis'!DW$1,Table1[Level of influence],"subnational",Table1['# of quarters between first contribution statement ],'Quant analysis'!$DS13)+COUNTIFS(Table1[The Six Conditions of Systems Change (WORK IN PROGRESS)],'Quant analysis'!DW$1,Table1[Level of influence],"national",Table1['# of quarters between first contribution statement ],'Quant analysis'!$DS13)</f>
        <v>0</v>
      </c>
      <c r="DX13" s="129">
        <f>COUNTIFS(Table1[The Six Conditions of Systems Change (WORK IN PROGRESS)],'Quant analysis'!DX$1,Table1[Level of influence],"subnational",Table1['# of quarters between first contribution statement ],'Quant analysis'!$DS13)+COUNTIFS(Table1[The Six Conditions of Systems Change (WORK IN PROGRESS)],'Quant analysis'!DX$1,Table1[Level of influence],"national",Table1['# of quarters between first contribution statement ],'Quant analysis'!$DS13)</f>
        <v>0</v>
      </c>
      <c r="DY13" s="129">
        <f>COUNTIFS(Table1[The Six Conditions of Systems Change (WORK IN PROGRESS)],'Quant analysis'!DY$1,Table1[Level of influence],"subnational",Table1['# of quarters between first contribution statement ],'Quant analysis'!$DS13)+COUNTIFS(Table1[The Six Conditions of Systems Change (WORK IN PROGRESS)],'Quant analysis'!DY$1,Table1[Level of influence],"national",Table1['# of quarters between first contribution statement ],'Quant analysis'!$DS13)</f>
        <v>0</v>
      </c>
      <c r="DZ13" s="129"/>
      <c r="EA13" s="130"/>
      <c r="EB13" s="68" t="s">
        <v>259</v>
      </c>
      <c r="EC13" s="129">
        <f>EC2</f>
        <v>0</v>
      </c>
      <c r="ED13" s="129">
        <f>EC3</f>
        <v>0</v>
      </c>
      <c r="EE13" s="129">
        <f>EC4</f>
        <v>0</v>
      </c>
      <c r="EF13" s="129"/>
      <c r="EG13" s="129"/>
      <c r="EH13" s="129"/>
      <c r="EI13" s="130"/>
      <c r="EJ13" s="130"/>
      <c r="EK13" s="130"/>
      <c r="EL13" s="130"/>
      <c r="EM13" s="68" t="s">
        <v>259</v>
      </c>
      <c r="EN13" s="129">
        <f>EN2</f>
        <v>0</v>
      </c>
      <c r="EO13" s="129">
        <f>EN3</f>
        <v>0</v>
      </c>
      <c r="EP13" s="129">
        <f>EN4</f>
        <v>0</v>
      </c>
      <c r="EQ13" s="129"/>
      <c r="ER13" s="129"/>
      <c r="ES13" s="129"/>
      <c r="ET13" s="130"/>
      <c r="EU13" s="130"/>
      <c r="EV13" s="130"/>
      <c r="EW13" s="68" t="s">
        <v>259</v>
      </c>
      <c r="EX13" s="129">
        <f>EX2</f>
        <v>0</v>
      </c>
      <c r="EY13" s="129">
        <f>EX3</f>
        <v>0</v>
      </c>
      <c r="EZ13" s="129">
        <f>EX4</f>
        <v>0</v>
      </c>
      <c r="FA13" s="129"/>
      <c r="FB13" s="129"/>
      <c r="FC13" s="129"/>
      <c r="FD13" s="130"/>
      <c r="FE13" s="130"/>
    </row>
    <row r="14" spans="1:161" ht="16" x14ac:dyDescent="0.2">
      <c r="A14" s="67" t="s">
        <v>109</v>
      </c>
      <c r="B14" s="129">
        <f>COUNTIF(Outcomes!Q:Q,'Quant analysis'!A14)</f>
        <v>0</v>
      </c>
      <c r="C14" s="130"/>
      <c r="D14" s="130"/>
      <c r="E14" s="130"/>
      <c r="F14" s="130"/>
      <c r="G14" s="130"/>
      <c r="H14" s="130"/>
      <c r="I14" s="130"/>
      <c r="J14" s="130"/>
      <c r="K14" s="130"/>
      <c r="L14" s="130"/>
      <c r="M14" s="130"/>
      <c r="N14" s="130"/>
      <c r="O14" s="130"/>
      <c r="P14" s="130"/>
      <c r="Q14" s="130"/>
      <c r="R14" s="130" t="s">
        <v>5</v>
      </c>
      <c r="S14" s="130" t="s">
        <v>236</v>
      </c>
      <c r="T14" s="129" t="s">
        <v>163</v>
      </c>
      <c r="U14" s="129">
        <f>COUNTIF(Outcomes!$L:$L,'Quant analysis'!$T14)</f>
        <v>0</v>
      </c>
      <c r="V14" s="19">
        <f>COUNTIFS(Outcomes!$L:$L,'Quant analysis'!$T14,Outcomes!$Q:$Q,V$1)</f>
        <v>0</v>
      </c>
      <c r="W14" s="19">
        <f>COUNTIFS(Outcomes!$L:$L,'Quant analysis'!$T14,Outcomes!$Q:$Q,W$1)</f>
        <v>0</v>
      </c>
      <c r="X14" s="19">
        <f>COUNTIFS(Outcomes!$L:$L,'Quant analysis'!$T14,Outcomes!$Q:$Q,X$1)</f>
        <v>0</v>
      </c>
      <c r="Y14" s="19">
        <f>COUNTIFS(Outcomes!$L:$L,'Quant analysis'!$T14,Outcomes!$Q:$Q,Y$1)</f>
        <v>0</v>
      </c>
      <c r="Z14" s="19">
        <f>COUNTIFS(Outcomes!$L:$L,'Quant analysis'!$T14,Outcomes!$Q:$Q,Z$1)</f>
        <v>0</v>
      </c>
      <c r="AA14" s="105">
        <f>COUNTIFS(Outcomes!$L:$L,'Quant analysis'!$T14,Outcomes!$Q:$Q,AA$1)</f>
        <v>0</v>
      </c>
      <c r="AB14" s="105">
        <f>COUNTIFS(Outcomes!$L:$L,'Quant analysis'!$T14,Outcomes!$Q:$Q,AB$1)</f>
        <v>0</v>
      </c>
      <c r="AC14" s="105">
        <f>COUNTIFS(Outcomes!$L:$L,'Quant analysis'!$T14,Outcomes!$Q:$Q,AC$1)</f>
        <v>0</v>
      </c>
      <c r="AD14" s="105">
        <f>COUNTIFS(Outcomes!$L:$L,'Quant analysis'!$T14,Outcomes!$Q:$Q,AD$1)</f>
        <v>0</v>
      </c>
      <c r="AE14" s="130">
        <f t="shared" si="0"/>
        <v>0</v>
      </c>
      <c r="AF14" s="130"/>
      <c r="AG14" s="14" t="s">
        <v>152</v>
      </c>
      <c r="AH14" s="129">
        <f>COUNTIF(Outcomes!O:O,'Quant analysis'!AG14)</f>
        <v>0</v>
      </c>
      <c r="AI14" s="19">
        <f>COUNTIFS(Outcomes!$O:$O,'Quant analysis'!$AG14,Outcomes!$Q:$Q,AI$1)</f>
        <v>0</v>
      </c>
      <c r="AJ14" s="19">
        <f>COUNTIFS(Outcomes!$O:$O,'Quant analysis'!$AG14,Outcomes!$Q:$Q,AJ$1)</f>
        <v>0</v>
      </c>
      <c r="AK14" s="19">
        <f>COUNTIFS(Outcomes!$O:$O,'Quant analysis'!$AG14,Outcomes!$Q:$Q,AK$1)</f>
        <v>0</v>
      </c>
      <c r="AL14" s="19">
        <f>COUNTIFS(Outcomes!$O:$O,'Quant analysis'!$AG14,Outcomes!$Q:$Q,AL$1)</f>
        <v>0</v>
      </c>
      <c r="AM14" s="19">
        <f>COUNTIFS(Outcomes!$O:$O,'Quant analysis'!$AG14,Outcomes!$Q:$Q,AM$1)</f>
        <v>0</v>
      </c>
      <c r="AN14" s="105">
        <f>COUNTIFS(Outcomes!$O:$O,'Quant analysis'!$AG14,Outcomes!$Q:$Q,AN$1)</f>
        <v>0</v>
      </c>
      <c r="AO14" s="105">
        <f>COUNTIFS(Outcomes!$O:$O,'Quant analysis'!$AG14,Outcomes!$Q:$Q,AO$1)</f>
        <v>0</v>
      </c>
      <c r="AP14" s="105">
        <f>COUNTIFS(Outcomes!$O:$O,'Quant analysis'!$AG14,Outcomes!$Q:$Q,AP$1)</f>
        <v>0</v>
      </c>
      <c r="AQ14" s="105">
        <f>COUNTIFS(Outcomes!$O:$O,'Quant analysis'!$AG14,Outcomes!$Q:$Q,AQ$1)</f>
        <v>0</v>
      </c>
      <c r="AR14" s="130">
        <f t="shared" si="1"/>
        <v>0</v>
      </c>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29" t="s">
        <v>239</v>
      </c>
      <c r="BU14" s="129" t="s">
        <v>197</v>
      </c>
      <c r="BV14" s="68">
        <f>COUNTIF(Outcomes!U:Y,'Quant analysis'!BU14)</f>
        <v>0</v>
      </c>
      <c r="BW14" s="19">
        <f>COUNTIFS(Outcomes!$U:$U,'Quant analysis'!$BU14,Outcomes!$Q:$Q,BW$1)+COUNTIFS(Outcomes!$V:$V,'Quant analysis'!$BU14,Outcomes!$Q:$Q,BW$1)+COUNTIFS(Outcomes!$W:$W,'Quant analysis'!$BU14,Outcomes!$Q:$Q,BW$1)+COUNTIFS(Outcomes!$X:$X,'Quant analysis'!$BU14,Outcomes!$Q:$Q,BW$1)+COUNTIFS(Outcomes!$Y:$Y,'Quant analysis'!$BU14,Outcomes!$Q:$Q,BW$1)</f>
        <v>0</v>
      </c>
      <c r="BX14" s="19">
        <f>COUNTIFS(Outcomes!$U:$U,'Quant analysis'!$BU14,Outcomes!$Q:$Q,BX$1)+COUNTIFS(Outcomes!$V:$V,'Quant analysis'!$BU14,Outcomes!$Q:$Q,BX$1)+COUNTIFS(Outcomes!$W:$W,'Quant analysis'!$BU14,Outcomes!$Q:$Q,BX$1)+COUNTIFS(Outcomes!$X:$X,'Quant analysis'!$BU14,Outcomes!$Q:$Q,BX$1)+COUNTIFS(Outcomes!$Y:$Y,'Quant analysis'!$BU14,Outcomes!$Q:$Q,BX$1)</f>
        <v>0</v>
      </c>
      <c r="BY14" s="19">
        <f>COUNTIFS(Outcomes!$U:$U,'Quant analysis'!$BU14,Outcomes!$Q:$Q,BY$1)+COUNTIFS(Outcomes!$V:$V,'Quant analysis'!$BU14,Outcomes!$Q:$Q,BY$1)+COUNTIFS(Outcomes!$W:$W,'Quant analysis'!$BU14,Outcomes!$Q:$Q,BY$1)+COUNTIFS(Outcomes!$X:$X,'Quant analysis'!$BU14,Outcomes!$Q:$Q,BY$1)+COUNTIFS(Outcomes!$Y:$Y,'Quant analysis'!$BU14,Outcomes!$Q:$Q,BY$1)</f>
        <v>0</v>
      </c>
      <c r="BZ14" s="19">
        <f>COUNTIFS(Outcomes!$U:$U,'Quant analysis'!$BU14,Outcomes!$Q:$Q,BZ$1)+COUNTIFS(Outcomes!$V:$V,'Quant analysis'!$BU14,Outcomes!$Q:$Q,BZ$1)+COUNTIFS(Outcomes!$W:$W,'Quant analysis'!$BU14,Outcomes!$Q:$Q,BZ$1)+COUNTIFS(Outcomes!$X:$X,'Quant analysis'!$BU14,Outcomes!$Q:$Q,BZ$1)+COUNTIFS(Outcomes!$Y:$Y,'Quant analysis'!$BU14,Outcomes!$Q:$Q,BZ$1)</f>
        <v>0</v>
      </c>
      <c r="CA14" s="19">
        <f>COUNTIFS(Outcomes!$U:$U,'Quant analysis'!$BU14,Outcomes!$Q:$Q,CA$1)+COUNTIFS(Outcomes!$V:$V,'Quant analysis'!$BU14,Outcomes!$Q:$Q,CA$1)+COUNTIFS(Outcomes!$W:$W,'Quant analysis'!$BU14,Outcomes!$Q:$Q,CA$1)+COUNTIFS(Outcomes!$X:$X,'Quant analysis'!$BU14,Outcomes!$Q:$Q,CA$1)+COUNTIFS(Outcomes!$Y:$Y,'Quant analysis'!$BU14,Outcomes!$Q:$Q,CA$1)</f>
        <v>0</v>
      </c>
      <c r="CB14" s="105">
        <f>COUNTIFS(Outcomes!$U:$U,'Quant analysis'!$BU14,Outcomes!$Q:$Q,CB$1)+COUNTIFS(Outcomes!$V:$V,'Quant analysis'!$BU14,Outcomes!$Q:$Q,CB$1)+COUNTIFS(Outcomes!$W:$W,'Quant analysis'!$BU14,Outcomes!$Q:$Q,CB$1)+COUNTIFS(Outcomes!$X:$X,'Quant analysis'!$BU14,Outcomes!$Q:$Q,CB$1)+COUNTIFS(Outcomes!$Y:$Y,'Quant analysis'!$BU14,Outcomes!$Q:$Q,CB$1)</f>
        <v>0</v>
      </c>
      <c r="CC14" s="105">
        <f>COUNTIFS(Outcomes!$U:$U,'Quant analysis'!$BU14,Outcomes!$Q:$Q,CC$1)+COUNTIFS(Outcomes!$V:$V,'Quant analysis'!$BU14,Outcomes!$Q:$Q,CC$1)+COUNTIFS(Outcomes!$W:$W,'Quant analysis'!$BU14,Outcomes!$Q:$Q,CC$1)+COUNTIFS(Outcomes!$X:$X,'Quant analysis'!$BU14,Outcomes!$Q:$Q,CC$1)+COUNTIFS(Outcomes!$Y:$Y,'Quant analysis'!$BU14,Outcomes!$Q:$Q,CC$1)</f>
        <v>0</v>
      </c>
      <c r="CD14" s="105">
        <f>COUNTIFS(Outcomes!$U:$U,'Quant analysis'!$BU14,Outcomes!$Q:$Q,CD$1)+COUNTIFS(Outcomes!$V:$V,'Quant analysis'!$BU14,Outcomes!$Q:$Q,CD$1)+COUNTIFS(Outcomes!$W:$W,'Quant analysis'!$BU14,Outcomes!$Q:$Q,CD$1)+COUNTIFS(Outcomes!$X:$X,'Quant analysis'!$BU14,Outcomes!$Q:$Q,CD$1)+COUNTIFS(Outcomes!$Y:$Y,'Quant analysis'!$BU14,Outcomes!$Q:$Q,CD$1)</f>
        <v>0</v>
      </c>
      <c r="CE14" s="105">
        <f>COUNTIFS(Outcomes!$U:$U,'Quant analysis'!$BU14,Outcomes!$Q:$Q,CE$1)+COUNTIFS(Outcomes!$V:$V,'Quant analysis'!$BU14,Outcomes!$Q:$Q,CE$1)+COUNTIFS(Outcomes!$W:$W,'Quant analysis'!$BU14,Outcomes!$Q:$Q,CE$1)+COUNTIFS(Outcomes!$X:$X,'Quant analysis'!$BU14,Outcomes!$Q:$Q,CE$1)+COUNTIFS(Outcomes!$Y:$Y,'Quant analysis'!$BU14,Outcomes!$Q:$Q,CE$1)</f>
        <v>0</v>
      </c>
      <c r="CF14" s="129">
        <f t="shared" si="4"/>
        <v>0</v>
      </c>
      <c r="CG14" s="130"/>
      <c r="CH14" s="130"/>
      <c r="CI14" s="130"/>
      <c r="CJ14" s="130"/>
      <c r="CK14" s="130"/>
      <c r="CL14" s="130"/>
      <c r="CM14" s="130"/>
      <c r="CN14" s="130"/>
      <c r="CO14" s="130"/>
      <c r="CP14" s="130"/>
      <c r="CQ14" s="130"/>
      <c r="CR14" s="130"/>
      <c r="CS14" s="130"/>
      <c r="CT14" s="130"/>
      <c r="CU14" s="130"/>
      <c r="CV14" s="131"/>
      <c r="CW14" s="68" t="s">
        <v>261</v>
      </c>
      <c r="CX14" s="129"/>
      <c r="CY14" s="129"/>
      <c r="CZ14" s="129"/>
      <c r="DA14" s="129">
        <f>CZ5</f>
        <v>0</v>
      </c>
      <c r="DB14" s="129">
        <f>CZ6</f>
        <v>0</v>
      </c>
      <c r="DC14" s="54"/>
      <c r="DD14" s="130">
        <f t="shared" ref="DD14:DD15" si="13">SUM(CX14:DC14)</f>
        <v>0</v>
      </c>
      <c r="DE14" s="130"/>
      <c r="DF14" s="130"/>
      <c r="DG14" s="130"/>
      <c r="DH14" s="129" t="s">
        <v>239</v>
      </c>
      <c r="DI14" s="129" t="s">
        <v>197</v>
      </c>
      <c r="DJ14" s="68">
        <f t="shared" si="7"/>
        <v>0</v>
      </c>
      <c r="DK14" s="19">
        <f>COUNTIFS(Table1[Level of influence],"subnational",Table1[The Six Conditions of Systems Change (WORK IN PROGRESS)],"Policies",Table1[Output contribution 1],'Quant analysis'!DI14)+COUNTIFS(Table1[Level of influence],"subnational",Table1[The Six Conditions of Systems Change (WORK IN PROGRESS)],"Policies",Table1[Output contribution 2],'Quant analysis'!DI14)+COUNTIFS(Table1[Level of influence],"subnational",Table1[The Six Conditions of Systems Change (WORK IN PROGRESS)],"Policies",Table1[Output contribution 3],'Quant analysis'!DI14)+COUNTIFS(Table1[Level of influence],"subnational",Table1[The Six Conditions of Systems Change (WORK IN PROGRESS)],"Policies",Table1[Output contribution 4],'Quant analysis'!DI14)+COUNTIFS(Table1[Level of influence],"subnational",Table1[The Six Conditions of Systems Change (WORK IN PROGRESS)],"Policies",Table1[Output contribution 5],'Quant analysis'!DI14)+COUNTIFS(Table1[Level of influence],"national",Table1[The Six Conditions of Systems Change (WORK IN PROGRESS)],"Policies",Table1[Output contribution 1],'Quant analysis'!DI14)+COUNTIFS(Table1[Level of influence],"national",Table1[The Six Conditions of Systems Change (WORK IN PROGRESS)],"Policies",Table1[Output contribution 2],'Quant analysis'!DI14)+COUNTIFS(Table1[Level of influence],"national",Table1[The Six Conditions of Systems Change (WORK IN PROGRESS)],"Policies",Table1[Output contribution 3],'Quant analysis'!DI14)+COUNTIFS(Table1[Level of influence],"national",Table1[The Six Conditions of Systems Change (WORK IN PROGRESS)],"Policies",Table1[Output contribution 4],'Quant analysis'!DI14)+COUNTIFS(Table1[Level of influence],"national",Table1[The Six Conditions of Systems Change (WORK IN PROGRESS)],"Policies",Table1[Output contribution 5],'Quant analysis'!DI14)</f>
        <v>0</v>
      </c>
      <c r="DL14" s="19">
        <f>COUNTIFS(Table1[Level of influence],"subnational",Table1[The Six Conditions of Systems Change (WORK IN PROGRESS)],"Practices",Table1[Output contribution 1],'Quant analysis'!$DI14)+COUNTIFS(Table1[Level of influence],"subnational",Table1[The Six Conditions of Systems Change (WORK IN PROGRESS)],"Practices",Table1[Output contribution 2],'Quant analysis'!$DI14)+COUNTIFS(Table1[Level of influence],"subnational",Table1[The Six Conditions of Systems Change (WORK IN PROGRESS)],"Practices",Table1[Output contribution 3],'Quant analysis'!$DI14)+COUNTIFS(Table1[Level of influence],"subnational",Table1[The Six Conditions of Systems Change (WORK IN PROGRESS)],"Practices",Table1[Output contribution 4],'Quant analysis'!$DI14)+COUNTIFS(Table1[Level of influence],"subnational",Table1[The Six Conditions of Systems Change (WORK IN PROGRESS)],"Practices",Table1[Output contribution 5],'Quant analysis'!$DI14)+COUNTIFS(Table1[Level of influence],"national",Table1[The Six Conditions of Systems Change (WORK IN PROGRESS)],"Practices",Table1[Output contribution 1],'Quant analysis'!$DI14)+COUNTIFS(Table1[Level of influence],"national",Table1[The Six Conditions of Systems Change (WORK IN PROGRESS)],"Practices",Table1[Output contribution 2],'Quant analysis'!$DI14)+COUNTIFS(Table1[Level of influence],"national",Table1[The Six Conditions of Systems Change (WORK IN PROGRESS)],"Practices",Table1[Output contribution 3],'Quant analysis'!$DI14)+COUNTIFS(Table1[Level of influence],"national",Table1[The Six Conditions of Systems Change (WORK IN PROGRESS)],"Practices",Table1[Output contribution 4],'Quant analysis'!$DI14)+COUNTIFS(Table1[Level of influence],"national",Table1[The Six Conditions of Systems Change (WORK IN PROGRESS)],"Practices",Table1[Output contribution 5],'Quant analysis'!$DI14)</f>
        <v>0</v>
      </c>
      <c r="DM14" s="19">
        <f>COUNTIFS(Table1[Level of influence],"subnational",Table1[The Six Conditions of Systems Change (WORK IN PROGRESS)],DM$1,Table1[Output contribution 1],'Quant analysis'!$DI14)+COUNTIFS(Table1[Level of influence],"subnational",Table1[The Six Conditions of Systems Change (WORK IN PROGRESS)],DM$1,Table1[Output contribution 2],'Quant analysis'!$DI14)+COUNTIFS(Table1[Level of influence],"subnational",Table1[The Six Conditions of Systems Change (WORK IN PROGRESS)],DM$1,Table1[Output contribution 3],'Quant analysis'!$DI14)+COUNTIFS(Table1[Level of influence],"subnational",Table1[The Six Conditions of Systems Change (WORK IN PROGRESS)],DM$1,Table1[Output contribution 4],'Quant analysis'!$DI14)+COUNTIFS(Table1[Level of influence],"subnational",Table1[The Six Conditions of Systems Change (WORK IN PROGRESS)],DM$1,Table1[Output contribution 5],'Quant analysis'!$DI14)+COUNTIFS(Table1[Level of influence],"national",Table1[The Six Conditions of Systems Change (WORK IN PROGRESS)],DM$1,Table1[Output contribution 1],'Quant analysis'!$DI14)+COUNTIFS(Table1[Level of influence],"national",Table1[The Six Conditions of Systems Change (WORK IN PROGRESS)],DM$1,Table1[Output contribution 2],'Quant analysis'!$DI14)+COUNTIFS(Table1[Level of influence],"national",Table1[The Six Conditions of Systems Change (WORK IN PROGRESS)],DM$1,Table1[Output contribution 3],'Quant analysis'!$DI14)+COUNTIFS(Table1[Level of influence],"national",Table1[The Six Conditions of Systems Change (WORK IN PROGRESS)],DM$1,Table1[Output contribution 4],'Quant analysis'!$DI14)+COUNTIFS(Table1[Level of influence],"national",Table1[The Six Conditions of Systems Change (WORK IN PROGRESS)],DM$1,Table1[Output contribution 5],'Quant analysis'!$DI14)</f>
        <v>0</v>
      </c>
      <c r="DN14" s="19">
        <f>COUNTIFS(Table1[Level of influence],"subnational",Table1[The Six Conditions of Systems Change (WORK IN PROGRESS)],DN$1,Table1[Output contribution 1],'Quant analysis'!$DI14)+COUNTIFS(Table1[Level of influence],"subnational",Table1[The Six Conditions of Systems Change (WORK IN PROGRESS)],DN$1,Table1[Output contribution 2],'Quant analysis'!$DI14)+COUNTIFS(Table1[Level of influence],"subnational",Table1[The Six Conditions of Systems Change (WORK IN PROGRESS)],DN$1,Table1[Output contribution 3],'Quant analysis'!$DI14)+COUNTIFS(Table1[Level of influence],"subnational",Table1[The Six Conditions of Systems Change (WORK IN PROGRESS)],DN$1,Table1[Output contribution 4],'Quant analysis'!$DI14)+COUNTIFS(Table1[Level of influence],"subnational",Table1[The Six Conditions of Systems Change (WORK IN PROGRESS)],DN$1,Table1[Output contribution 5],'Quant analysis'!$DI14)+COUNTIFS(Table1[Level of influence],"national",Table1[The Six Conditions of Systems Change (WORK IN PROGRESS)],DN$1,Table1[Output contribution 1],'Quant analysis'!$DI14)+COUNTIFS(Table1[Level of influence],"national",Table1[The Six Conditions of Systems Change (WORK IN PROGRESS)],DN$1,Table1[Output contribution 2],'Quant analysis'!$DI14)+COUNTIFS(Table1[Level of influence],"national",Table1[The Six Conditions of Systems Change (WORK IN PROGRESS)],DN$1,Table1[Output contribution 3],'Quant analysis'!$DI14)+COUNTIFS(Table1[Level of influence],"national",Table1[The Six Conditions of Systems Change (WORK IN PROGRESS)],DN$1,Table1[Output contribution 4],'Quant analysis'!$DI14)+COUNTIFS(Table1[Level of influence],"national",Table1[The Six Conditions of Systems Change (WORK IN PROGRESS)],DN$1,Table1[Output contribution 5],'Quant analysis'!$DI14)</f>
        <v>0</v>
      </c>
      <c r="DO14" s="19">
        <f>COUNTIFS(Table1[Level of influence],"subnational",Table1[The Six Conditions of Systems Change (WORK IN PROGRESS)],DO$1,Table1[Output contribution 1],'Quant analysis'!$DI14)+COUNTIFS(Table1[Level of influence],"subnational",Table1[The Six Conditions of Systems Change (WORK IN PROGRESS)],DO$1,Table1[Output contribution 2],'Quant analysis'!$DI14)+COUNTIFS(Table1[Level of influence],"subnational",Table1[The Six Conditions of Systems Change (WORK IN PROGRESS)],DO$1,Table1[Output contribution 3],'Quant analysis'!$DI14)+COUNTIFS(Table1[Level of influence],"subnational",Table1[The Six Conditions of Systems Change (WORK IN PROGRESS)],DO$1,Table1[Output contribution 4],'Quant analysis'!$DI14)+COUNTIFS(Table1[Level of influence],"subnational",Table1[The Six Conditions of Systems Change (WORK IN PROGRESS)],DO$1,Table1[Output contribution 5],'Quant analysis'!$DI14)+COUNTIFS(Table1[Level of influence],"national",Table1[The Six Conditions of Systems Change (WORK IN PROGRESS)],DO$1,Table1[Output contribution 1],'Quant analysis'!$DI14)+COUNTIFS(Table1[Level of influence],"national",Table1[The Six Conditions of Systems Change (WORK IN PROGRESS)],DO$1,Table1[Output contribution 2],'Quant analysis'!$DI14)+COUNTIFS(Table1[Level of influence],"national",Table1[The Six Conditions of Systems Change (WORK IN PROGRESS)],DO$1,Table1[Output contribution 3],'Quant analysis'!$DI14)+COUNTIFS(Table1[Level of influence],"national",Table1[The Six Conditions of Systems Change (WORK IN PROGRESS)],DO$1,Table1[Output contribution 4],'Quant analysis'!$DI14)+COUNTIFS(Table1[Level of influence],"national",Table1[The Six Conditions of Systems Change (WORK IN PROGRESS)],DO$1,Table1[Output contribution 5],'Quant analysis'!$DI14)</f>
        <v>0</v>
      </c>
      <c r="DP14" s="19">
        <f>COUNTIFS(Table1[Level of influence],"subnational",Table1[The Six Conditions of Systems Change (WORK IN PROGRESS)],DP$1,Table1[Output contribution 1],'Quant analysis'!$DI14)+COUNTIFS(Table1[Level of influence],"subnational",Table1[The Six Conditions of Systems Change (WORK IN PROGRESS)],DP$1,Table1[Output contribution 2],'Quant analysis'!$DI14)+COUNTIFS(Table1[Level of influence],"subnational",Table1[The Six Conditions of Systems Change (WORK IN PROGRESS)],DP$1,Table1[Output contribution 3],'Quant analysis'!$DI14)+COUNTIFS(Table1[Level of influence],"subnational",Table1[The Six Conditions of Systems Change (WORK IN PROGRESS)],DP$1,Table1[Output contribution 4],'Quant analysis'!$DI14)+COUNTIFS(Table1[Level of influence],"subnational",Table1[The Six Conditions of Systems Change (WORK IN PROGRESS)],DP$1,Table1[Output contribution 5],'Quant analysis'!$DI14)+COUNTIFS(Table1[Level of influence],"national",Table1[The Six Conditions of Systems Change (WORK IN PROGRESS)],DP$1,Table1[Output contribution 1],'Quant analysis'!$DI14)+COUNTIFS(Table1[Level of influence],"national",Table1[The Six Conditions of Systems Change (WORK IN PROGRESS)],DP$1,Table1[Output contribution 2],'Quant analysis'!$DI14)+COUNTIFS(Table1[Level of influence],"national",Table1[The Six Conditions of Systems Change (WORK IN PROGRESS)],DP$1,Table1[Output contribution 3],'Quant analysis'!$DI14)+COUNTIFS(Table1[Level of influence],"national",Table1[The Six Conditions of Systems Change (WORK IN PROGRESS)],DP$1,Table1[Output contribution 4],'Quant analysis'!$DI14)+COUNTIFS(Table1[Level of influence],"national",Table1[The Six Conditions of Systems Change (WORK IN PROGRESS)],DP$1,Table1[Output contribution 5],'Quant analysis'!$DI14)</f>
        <v>0</v>
      </c>
      <c r="DQ14" s="130"/>
      <c r="DR14" s="130"/>
      <c r="DS14" s="157" t="s">
        <v>262</v>
      </c>
      <c r="DT14" s="129">
        <f>COUNTIFS(Table1[The Six Conditions of Systems Change (WORK IN PROGRESS)],'Quant analysis'!DT$1,Table1[Level of influence],"subnational",Table1['# of quarters between first contribution statement ],'Quant analysis'!$DS14)+COUNTIFS(Table1[The Six Conditions of Systems Change (WORK IN PROGRESS)],'Quant analysis'!DT$1,Table1[Level of influence],"national",Table1['# of quarters between first contribution statement ],'Quant analysis'!$DS14)</f>
        <v>0</v>
      </c>
      <c r="DU14" s="129">
        <f>COUNTIFS(Table1[The Six Conditions of Systems Change (WORK IN PROGRESS)],'Quant analysis'!DU$1,Table1[Level of influence],"subnational",Table1['# of quarters between first contribution statement ],'Quant analysis'!$DS14)+COUNTIFS(Table1[The Six Conditions of Systems Change (WORK IN PROGRESS)],'Quant analysis'!DU$1,Table1[Level of influence],"national",Table1['# of quarters between first contribution statement ],'Quant analysis'!$DS14)</f>
        <v>0</v>
      </c>
      <c r="DV14" s="129">
        <f>COUNTIFS(Table1[The Six Conditions of Systems Change (WORK IN PROGRESS)],'Quant analysis'!DV$1,Table1[Level of influence],"subnational",Table1['# of quarters between first contribution statement ],'Quant analysis'!$DS14)+COUNTIFS(Table1[The Six Conditions of Systems Change (WORK IN PROGRESS)],'Quant analysis'!DV$1,Table1[Level of influence],"national",Table1['# of quarters between first contribution statement ],'Quant analysis'!$DS14)</f>
        <v>0</v>
      </c>
      <c r="DW14" s="129">
        <f>COUNTIFS(Table1[The Six Conditions of Systems Change (WORK IN PROGRESS)],'Quant analysis'!DW$1,Table1[Level of influence],"subnational",Table1['# of quarters between first contribution statement ],'Quant analysis'!$DS14)+COUNTIFS(Table1[The Six Conditions of Systems Change (WORK IN PROGRESS)],'Quant analysis'!DW$1,Table1[Level of influence],"national",Table1['# of quarters between first contribution statement ],'Quant analysis'!$DS14)</f>
        <v>0</v>
      </c>
      <c r="DX14" s="129">
        <f>COUNTIFS(Table1[The Six Conditions of Systems Change (WORK IN PROGRESS)],'Quant analysis'!DX$1,Table1[Level of influence],"subnational",Table1['# of quarters between first contribution statement ],'Quant analysis'!$DS14)+COUNTIFS(Table1[The Six Conditions of Systems Change (WORK IN PROGRESS)],'Quant analysis'!DX$1,Table1[Level of influence],"national",Table1['# of quarters between first contribution statement ],'Quant analysis'!$DS14)</f>
        <v>0</v>
      </c>
      <c r="DY14" s="129">
        <f>COUNTIFS(Table1[The Six Conditions of Systems Change (WORK IN PROGRESS)],'Quant analysis'!DY$1,Table1[Level of influence],"subnational",Table1['# of quarters between first contribution statement ],'Quant analysis'!$DS14)+COUNTIFS(Table1[The Six Conditions of Systems Change (WORK IN PROGRESS)],'Quant analysis'!DY$1,Table1[Level of influence],"national",Table1['# of quarters between first contribution statement ],'Quant analysis'!$DS14)</f>
        <v>0</v>
      </c>
      <c r="DZ14" s="129"/>
      <c r="EA14" s="130"/>
      <c r="EB14" s="68" t="s">
        <v>261</v>
      </c>
      <c r="EC14" s="129"/>
      <c r="ED14" s="129"/>
      <c r="EE14" s="129"/>
      <c r="EF14" s="129">
        <f>EC5</f>
        <v>0</v>
      </c>
      <c r="EG14" s="129">
        <f>EC6</f>
        <v>0</v>
      </c>
      <c r="EH14" s="54"/>
      <c r="EI14" s="130"/>
      <c r="EJ14" s="130"/>
      <c r="EK14" s="130"/>
      <c r="EL14" s="130"/>
      <c r="EM14" s="68" t="s">
        <v>261</v>
      </c>
      <c r="EN14" s="129"/>
      <c r="EO14" s="129"/>
      <c r="EP14" s="129"/>
      <c r="EQ14" s="129">
        <f>EN5</f>
        <v>0</v>
      </c>
      <c r="ER14" s="129">
        <f>EN6</f>
        <v>0</v>
      </c>
      <c r="ES14" s="54"/>
      <c r="ET14" s="130"/>
      <c r="EU14" s="130"/>
      <c r="EV14" s="130"/>
      <c r="EW14" s="68" t="s">
        <v>261</v>
      </c>
      <c r="EX14" s="129"/>
      <c r="EY14" s="129"/>
      <c r="EZ14" s="129"/>
      <c r="FA14" s="129">
        <f>EX5</f>
        <v>0</v>
      </c>
      <c r="FB14" s="129">
        <f>EX6</f>
        <v>0</v>
      </c>
      <c r="FC14" s="54"/>
      <c r="FD14" s="130"/>
      <c r="FE14" s="130"/>
    </row>
    <row r="15" spans="1:161" x14ac:dyDescent="0.2">
      <c r="A15" s="67" t="s">
        <v>157</v>
      </c>
      <c r="B15" s="129">
        <f>COUNTIF(Outcomes!Q:Q,'Quant analysis'!A15)</f>
        <v>0</v>
      </c>
      <c r="C15" s="130"/>
      <c r="D15" s="130"/>
      <c r="E15" s="130"/>
      <c r="F15" s="130"/>
      <c r="G15" s="130"/>
      <c r="H15" s="130"/>
      <c r="I15" s="130"/>
      <c r="J15" s="130"/>
      <c r="K15" s="130"/>
      <c r="L15" s="130"/>
      <c r="M15" s="130"/>
      <c r="N15" s="130"/>
      <c r="O15" s="130"/>
      <c r="P15" s="130"/>
      <c r="Q15" s="130"/>
      <c r="R15" s="130"/>
      <c r="S15" s="130" t="s">
        <v>238</v>
      </c>
      <c r="T15" s="129" t="s">
        <v>164</v>
      </c>
      <c r="U15" s="129">
        <f>COUNTIF(Outcomes!$L:$L,'Quant analysis'!$T15)</f>
        <v>0</v>
      </c>
      <c r="V15" s="19">
        <f>COUNTIFS(Outcomes!$L:$L,'Quant analysis'!$T15,Outcomes!$Q:$Q,V$1)</f>
        <v>0</v>
      </c>
      <c r="W15" s="19">
        <f>COUNTIFS(Outcomes!$L:$L,'Quant analysis'!$T15,Outcomes!$Q:$Q,W$1)</f>
        <v>0</v>
      </c>
      <c r="X15" s="19">
        <f>COUNTIFS(Outcomes!$L:$L,'Quant analysis'!$T15,Outcomes!$Q:$Q,X$1)</f>
        <v>0</v>
      </c>
      <c r="Y15" s="19">
        <f>COUNTIFS(Outcomes!$L:$L,'Quant analysis'!$T15,Outcomes!$Q:$Q,Y$1)</f>
        <v>0</v>
      </c>
      <c r="Z15" s="19">
        <f>COUNTIFS(Outcomes!$L:$L,'Quant analysis'!$T15,Outcomes!$Q:$Q,Z$1)</f>
        <v>0</v>
      </c>
      <c r="AA15" s="105">
        <f>COUNTIFS(Outcomes!$L:$L,'Quant analysis'!$T15,Outcomes!$Q:$Q,AA$1)</f>
        <v>0</v>
      </c>
      <c r="AB15" s="105">
        <f>COUNTIFS(Outcomes!$L:$L,'Quant analysis'!$T15,Outcomes!$Q:$Q,AB$1)</f>
        <v>0</v>
      </c>
      <c r="AC15" s="105">
        <f>COUNTIFS(Outcomes!$L:$L,'Quant analysis'!$T15,Outcomes!$Q:$Q,AC$1)</f>
        <v>0</v>
      </c>
      <c r="AD15" s="105">
        <f>COUNTIFS(Outcomes!$L:$L,'Quant analysis'!$T15,Outcomes!$Q:$Q,AD$1)</f>
        <v>0</v>
      </c>
      <c r="AE15" s="130">
        <f t="shared" si="0"/>
        <v>0</v>
      </c>
      <c r="AF15" s="130"/>
      <c r="AG15" s="130"/>
      <c r="AH15" s="16">
        <f>SUM(AH2:AH14)</f>
        <v>0</v>
      </c>
      <c r="AI15" s="18">
        <f>SUM(AI2:AI14)</f>
        <v>0</v>
      </c>
      <c r="AJ15" s="18">
        <f t="shared" ref="AJ15:AQ15" si="14">SUM(AJ2:AJ14)</f>
        <v>0</v>
      </c>
      <c r="AK15" s="18">
        <f t="shared" si="14"/>
        <v>0</v>
      </c>
      <c r="AL15" s="18">
        <f t="shared" si="14"/>
        <v>0</v>
      </c>
      <c r="AM15" s="18">
        <f t="shared" si="14"/>
        <v>0</v>
      </c>
      <c r="AN15" s="18">
        <f t="shared" si="14"/>
        <v>0</v>
      </c>
      <c r="AO15" s="18">
        <f t="shared" si="14"/>
        <v>0</v>
      </c>
      <c r="AP15" s="18">
        <f t="shared" si="14"/>
        <v>0</v>
      </c>
      <c r="AQ15" s="18">
        <f t="shared" si="14"/>
        <v>0</v>
      </c>
      <c r="AR15" s="16"/>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29" t="s">
        <v>263</v>
      </c>
      <c r="BU15" s="129" t="s">
        <v>131</v>
      </c>
      <c r="BV15" s="68">
        <f>COUNTIF(Outcomes!U:Y,'Quant analysis'!BU15)</f>
        <v>0</v>
      </c>
      <c r="BW15" s="19">
        <f>COUNTIFS(Outcomes!$U:$U,'Quant analysis'!$BU15,Outcomes!$Q:$Q,BW$1)+COUNTIFS(Outcomes!$V:$V,'Quant analysis'!$BU15,Outcomes!$Q:$Q,BW$1)+COUNTIFS(Outcomes!$W:$W,'Quant analysis'!$BU15,Outcomes!$Q:$Q,BW$1)+COUNTIFS(Outcomes!$X:$X,'Quant analysis'!$BU15,Outcomes!$Q:$Q,BW$1)+COUNTIFS(Outcomes!$Y:$Y,'Quant analysis'!$BU15,Outcomes!$Q:$Q,BW$1)</f>
        <v>0</v>
      </c>
      <c r="BX15" s="19">
        <f>COUNTIFS(Outcomes!$U:$U,'Quant analysis'!$BU15,Outcomes!$Q:$Q,BX$1)+COUNTIFS(Outcomes!$V:$V,'Quant analysis'!$BU15,Outcomes!$Q:$Q,BX$1)+COUNTIFS(Outcomes!$W:$W,'Quant analysis'!$BU15,Outcomes!$Q:$Q,BX$1)+COUNTIFS(Outcomes!$X:$X,'Quant analysis'!$BU15,Outcomes!$Q:$Q,BX$1)+COUNTIFS(Outcomes!$Y:$Y,'Quant analysis'!$BU15,Outcomes!$Q:$Q,BX$1)</f>
        <v>0</v>
      </c>
      <c r="BY15" s="19">
        <f>COUNTIFS(Outcomes!$U:$U,'Quant analysis'!$BU15,Outcomes!$Q:$Q,BY$1)+COUNTIFS(Outcomes!$V:$V,'Quant analysis'!$BU15,Outcomes!$Q:$Q,BY$1)+COUNTIFS(Outcomes!$W:$W,'Quant analysis'!$BU15,Outcomes!$Q:$Q,BY$1)+COUNTIFS(Outcomes!$X:$X,'Quant analysis'!$BU15,Outcomes!$Q:$Q,BY$1)+COUNTIFS(Outcomes!$Y:$Y,'Quant analysis'!$BU15,Outcomes!$Q:$Q,BY$1)</f>
        <v>0</v>
      </c>
      <c r="BZ15" s="19">
        <f>COUNTIFS(Outcomes!$U:$U,'Quant analysis'!$BU15,Outcomes!$Q:$Q,BZ$1)+COUNTIFS(Outcomes!$V:$V,'Quant analysis'!$BU15,Outcomes!$Q:$Q,BZ$1)+COUNTIFS(Outcomes!$W:$W,'Quant analysis'!$BU15,Outcomes!$Q:$Q,BZ$1)+COUNTIFS(Outcomes!$X:$X,'Quant analysis'!$BU15,Outcomes!$Q:$Q,BZ$1)+COUNTIFS(Outcomes!$Y:$Y,'Quant analysis'!$BU15,Outcomes!$Q:$Q,BZ$1)</f>
        <v>0</v>
      </c>
      <c r="CA15" s="19">
        <f>COUNTIFS(Outcomes!$U:$U,'Quant analysis'!$BU15,Outcomes!$Q:$Q,CA$1)+COUNTIFS(Outcomes!$V:$V,'Quant analysis'!$BU15,Outcomes!$Q:$Q,CA$1)+COUNTIFS(Outcomes!$W:$W,'Quant analysis'!$BU15,Outcomes!$Q:$Q,CA$1)+COUNTIFS(Outcomes!$X:$X,'Quant analysis'!$BU15,Outcomes!$Q:$Q,CA$1)+COUNTIFS(Outcomes!$Y:$Y,'Quant analysis'!$BU15,Outcomes!$Q:$Q,CA$1)</f>
        <v>0</v>
      </c>
      <c r="CB15" s="105">
        <f>COUNTIFS(Outcomes!$U:$U,'Quant analysis'!$BU15,Outcomes!$Q:$Q,CB$1)+COUNTIFS(Outcomes!$V:$V,'Quant analysis'!$BU15,Outcomes!$Q:$Q,CB$1)+COUNTIFS(Outcomes!$W:$W,'Quant analysis'!$BU15,Outcomes!$Q:$Q,CB$1)+COUNTIFS(Outcomes!$X:$X,'Quant analysis'!$BU15,Outcomes!$Q:$Q,CB$1)+COUNTIFS(Outcomes!$Y:$Y,'Quant analysis'!$BU15,Outcomes!$Q:$Q,CB$1)</f>
        <v>0</v>
      </c>
      <c r="CC15" s="105">
        <f>COUNTIFS(Outcomes!$U:$U,'Quant analysis'!$BU15,Outcomes!$Q:$Q,CC$1)+COUNTIFS(Outcomes!$V:$V,'Quant analysis'!$BU15,Outcomes!$Q:$Q,CC$1)+COUNTIFS(Outcomes!$W:$W,'Quant analysis'!$BU15,Outcomes!$Q:$Q,CC$1)+COUNTIFS(Outcomes!$X:$X,'Quant analysis'!$BU15,Outcomes!$Q:$Q,CC$1)+COUNTIFS(Outcomes!$Y:$Y,'Quant analysis'!$BU15,Outcomes!$Q:$Q,CC$1)</f>
        <v>0</v>
      </c>
      <c r="CD15" s="105">
        <f>COUNTIFS(Outcomes!$U:$U,'Quant analysis'!$BU15,Outcomes!$Q:$Q,CD$1)+COUNTIFS(Outcomes!$V:$V,'Quant analysis'!$BU15,Outcomes!$Q:$Q,CD$1)+COUNTIFS(Outcomes!$W:$W,'Quant analysis'!$BU15,Outcomes!$Q:$Q,CD$1)+COUNTIFS(Outcomes!$X:$X,'Quant analysis'!$BU15,Outcomes!$Q:$Q,CD$1)+COUNTIFS(Outcomes!$Y:$Y,'Quant analysis'!$BU15,Outcomes!$Q:$Q,CD$1)</f>
        <v>0</v>
      </c>
      <c r="CE15" s="105">
        <f>COUNTIFS(Outcomes!$U:$U,'Quant analysis'!$BU15,Outcomes!$Q:$Q,CE$1)+COUNTIFS(Outcomes!$V:$V,'Quant analysis'!$BU15,Outcomes!$Q:$Q,CE$1)+COUNTIFS(Outcomes!$W:$W,'Quant analysis'!$BU15,Outcomes!$Q:$Q,CE$1)+COUNTIFS(Outcomes!$X:$X,'Quant analysis'!$BU15,Outcomes!$Q:$Q,CE$1)+COUNTIFS(Outcomes!$Y:$Y,'Quant analysis'!$BU15,Outcomes!$Q:$Q,CE$1)</f>
        <v>0</v>
      </c>
      <c r="CF15" s="129">
        <f t="shared" si="4"/>
        <v>0</v>
      </c>
      <c r="CG15" s="130"/>
      <c r="CH15" s="130"/>
      <c r="CI15" s="130"/>
      <c r="CJ15" s="130"/>
      <c r="CK15" s="130"/>
      <c r="CL15" s="130"/>
      <c r="CM15" s="130"/>
      <c r="CN15" s="130"/>
      <c r="CO15" s="130"/>
      <c r="CP15" s="130"/>
      <c r="CQ15" s="130"/>
      <c r="CR15" s="130"/>
      <c r="CS15" s="130"/>
      <c r="CT15" s="130"/>
      <c r="CU15" s="130"/>
      <c r="CV15" s="131"/>
      <c r="CW15" s="68" t="s">
        <v>264</v>
      </c>
      <c r="CX15" s="129"/>
      <c r="CY15" s="129"/>
      <c r="CZ15" s="129"/>
      <c r="DA15" s="129"/>
      <c r="DB15" s="129"/>
      <c r="DC15" s="129">
        <f>CZ7</f>
        <v>0</v>
      </c>
      <c r="DD15" s="130">
        <f t="shared" si="13"/>
        <v>0</v>
      </c>
      <c r="DE15" s="130"/>
      <c r="DF15" s="130"/>
      <c r="DG15" s="130"/>
      <c r="DH15" s="129" t="s">
        <v>263</v>
      </c>
      <c r="DI15" s="129" t="s">
        <v>131</v>
      </c>
      <c r="DJ15" s="68">
        <f t="shared" si="7"/>
        <v>0</v>
      </c>
      <c r="DK15" s="19">
        <f>COUNTIFS(Table1[Level of influence],"subnational",Table1[The Six Conditions of Systems Change (WORK IN PROGRESS)],"Policies",Table1[Output contribution 1],'Quant analysis'!DI15)+COUNTIFS(Table1[Level of influence],"subnational",Table1[The Six Conditions of Systems Change (WORK IN PROGRESS)],"Policies",Table1[Output contribution 2],'Quant analysis'!DI15)+COUNTIFS(Table1[Level of influence],"subnational",Table1[The Six Conditions of Systems Change (WORK IN PROGRESS)],"Policies",Table1[Output contribution 3],'Quant analysis'!DI15)+COUNTIFS(Table1[Level of influence],"subnational",Table1[The Six Conditions of Systems Change (WORK IN PROGRESS)],"Policies",Table1[Output contribution 4],'Quant analysis'!DI15)+COUNTIFS(Table1[Level of influence],"subnational",Table1[The Six Conditions of Systems Change (WORK IN PROGRESS)],"Policies",Table1[Output contribution 5],'Quant analysis'!DI15)+COUNTIFS(Table1[Level of influence],"national",Table1[The Six Conditions of Systems Change (WORK IN PROGRESS)],"Policies",Table1[Output contribution 1],'Quant analysis'!DI15)+COUNTIFS(Table1[Level of influence],"national",Table1[The Six Conditions of Systems Change (WORK IN PROGRESS)],"Policies",Table1[Output contribution 2],'Quant analysis'!DI15)+COUNTIFS(Table1[Level of influence],"national",Table1[The Six Conditions of Systems Change (WORK IN PROGRESS)],"Policies",Table1[Output contribution 3],'Quant analysis'!DI15)+COUNTIFS(Table1[Level of influence],"national",Table1[The Six Conditions of Systems Change (WORK IN PROGRESS)],"Policies",Table1[Output contribution 4],'Quant analysis'!DI15)+COUNTIFS(Table1[Level of influence],"national",Table1[The Six Conditions of Systems Change (WORK IN PROGRESS)],"Policies",Table1[Output contribution 5],'Quant analysis'!DI15)</f>
        <v>0</v>
      </c>
      <c r="DL15" s="19">
        <f>COUNTIFS(Table1[Level of influence],"subnational",Table1[The Six Conditions of Systems Change (WORK IN PROGRESS)],"Practices",Table1[Output contribution 1],'Quant analysis'!$DI15)+COUNTIFS(Table1[Level of influence],"subnational",Table1[The Six Conditions of Systems Change (WORK IN PROGRESS)],"Practices",Table1[Output contribution 2],'Quant analysis'!$DI15)+COUNTIFS(Table1[Level of influence],"subnational",Table1[The Six Conditions of Systems Change (WORK IN PROGRESS)],"Practices",Table1[Output contribution 3],'Quant analysis'!$DI15)+COUNTIFS(Table1[Level of influence],"subnational",Table1[The Six Conditions of Systems Change (WORK IN PROGRESS)],"Practices",Table1[Output contribution 4],'Quant analysis'!$DI15)+COUNTIFS(Table1[Level of influence],"subnational",Table1[The Six Conditions of Systems Change (WORK IN PROGRESS)],"Practices",Table1[Output contribution 5],'Quant analysis'!$DI15)+COUNTIFS(Table1[Level of influence],"national",Table1[The Six Conditions of Systems Change (WORK IN PROGRESS)],"Practices",Table1[Output contribution 1],'Quant analysis'!$DI15)+COUNTIFS(Table1[Level of influence],"national",Table1[The Six Conditions of Systems Change (WORK IN PROGRESS)],"Practices",Table1[Output contribution 2],'Quant analysis'!$DI15)+COUNTIFS(Table1[Level of influence],"national",Table1[The Six Conditions of Systems Change (WORK IN PROGRESS)],"Practices",Table1[Output contribution 3],'Quant analysis'!$DI15)+COUNTIFS(Table1[Level of influence],"national",Table1[The Six Conditions of Systems Change (WORK IN PROGRESS)],"Practices",Table1[Output contribution 4],'Quant analysis'!$DI15)+COUNTIFS(Table1[Level of influence],"national",Table1[The Six Conditions of Systems Change (WORK IN PROGRESS)],"Practices",Table1[Output contribution 5],'Quant analysis'!$DI15)</f>
        <v>0</v>
      </c>
      <c r="DM15" s="19">
        <f>COUNTIFS(Table1[Level of influence],"subnational",Table1[The Six Conditions of Systems Change (WORK IN PROGRESS)],DM$1,Table1[Output contribution 1],'Quant analysis'!$DI15)+COUNTIFS(Table1[Level of influence],"subnational",Table1[The Six Conditions of Systems Change (WORK IN PROGRESS)],DM$1,Table1[Output contribution 2],'Quant analysis'!$DI15)+COUNTIFS(Table1[Level of influence],"subnational",Table1[The Six Conditions of Systems Change (WORK IN PROGRESS)],DM$1,Table1[Output contribution 3],'Quant analysis'!$DI15)+COUNTIFS(Table1[Level of influence],"subnational",Table1[The Six Conditions of Systems Change (WORK IN PROGRESS)],DM$1,Table1[Output contribution 4],'Quant analysis'!$DI15)+COUNTIFS(Table1[Level of influence],"subnational",Table1[The Six Conditions of Systems Change (WORK IN PROGRESS)],DM$1,Table1[Output contribution 5],'Quant analysis'!$DI15)+COUNTIFS(Table1[Level of influence],"national",Table1[The Six Conditions of Systems Change (WORK IN PROGRESS)],DM$1,Table1[Output contribution 1],'Quant analysis'!$DI15)+COUNTIFS(Table1[Level of influence],"national",Table1[The Six Conditions of Systems Change (WORK IN PROGRESS)],DM$1,Table1[Output contribution 2],'Quant analysis'!$DI15)+COUNTIFS(Table1[Level of influence],"national",Table1[The Six Conditions of Systems Change (WORK IN PROGRESS)],DM$1,Table1[Output contribution 3],'Quant analysis'!$DI15)+COUNTIFS(Table1[Level of influence],"national",Table1[The Six Conditions of Systems Change (WORK IN PROGRESS)],DM$1,Table1[Output contribution 4],'Quant analysis'!$DI15)+COUNTIFS(Table1[Level of influence],"national",Table1[The Six Conditions of Systems Change (WORK IN PROGRESS)],DM$1,Table1[Output contribution 5],'Quant analysis'!$DI15)</f>
        <v>0</v>
      </c>
      <c r="DN15" s="19">
        <f>COUNTIFS(Table1[Level of influence],"subnational",Table1[The Six Conditions of Systems Change (WORK IN PROGRESS)],DN$1,Table1[Output contribution 1],'Quant analysis'!$DI15)+COUNTIFS(Table1[Level of influence],"subnational",Table1[The Six Conditions of Systems Change (WORK IN PROGRESS)],DN$1,Table1[Output contribution 2],'Quant analysis'!$DI15)+COUNTIFS(Table1[Level of influence],"subnational",Table1[The Six Conditions of Systems Change (WORK IN PROGRESS)],DN$1,Table1[Output contribution 3],'Quant analysis'!$DI15)+COUNTIFS(Table1[Level of influence],"subnational",Table1[The Six Conditions of Systems Change (WORK IN PROGRESS)],DN$1,Table1[Output contribution 4],'Quant analysis'!$DI15)+COUNTIFS(Table1[Level of influence],"subnational",Table1[The Six Conditions of Systems Change (WORK IN PROGRESS)],DN$1,Table1[Output contribution 5],'Quant analysis'!$DI15)+COUNTIFS(Table1[Level of influence],"national",Table1[The Six Conditions of Systems Change (WORK IN PROGRESS)],DN$1,Table1[Output contribution 1],'Quant analysis'!$DI15)+COUNTIFS(Table1[Level of influence],"national",Table1[The Six Conditions of Systems Change (WORK IN PROGRESS)],DN$1,Table1[Output contribution 2],'Quant analysis'!$DI15)+COUNTIFS(Table1[Level of influence],"national",Table1[The Six Conditions of Systems Change (WORK IN PROGRESS)],DN$1,Table1[Output contribution 3],'Quant analysis'!$DI15)+COUNTIFS(Table1[Level of influence],"national",Table1[The Six Conditions of Systems Change (WORK IN PROGRESS)],DN$1,Table1[Output contribution 4],'Quant analysis'!$DI15)+COUNTIFS(Table1[Level of influence],"national",Table1[The Six Conditions of Systems Change (WORK IN PROGRESS)],DN$1,Table1[Output contribution 5],'Quant analysis'!$DI15)</f>
        <v>0</v>
      </c>
      <c r="DO15" s="19">
        <f>COUNTIFS(Table1[Level of influence],"subnational",Table1[The Six Conditions of Systems Change (WORK IN PROGRESS)],DO$1,Table1[Output contribution 1],'Quant analysis'!$DI15)+COUNTIFS(Table1[Level of influence],"subnational",Table1[The Six Conditions of Systems Change (WORK IN PROGRESS)],DO$1,Table1[Output contribution 2],'Quant analysis'!$DI15)+COUNTIFS(Table1[Level of influence],"subnational",Table1[The Six Conditions of Systems Change (WORK IN PROGRESS)],DO$1,Table1[Output contribution 3],'Quant analysis'!$DI15)+COUNTIFS(Table1[Level of influence],"subnational",Table1[The Six Conditions of Systems Change (WORK IN PROGRESS)],DO$1,Table1[Output contribution 4],'Quant analysis'!$DI15)+COUNTIFS(Table1[Level of influence],"subnational",Table1[The Six Conditions of Systems Change (WORK IN PROGRESS)],DO$1,Table1[Output contribution 5],'Quant analysis'!$DI15)+COUNTIFS(Table1[Level of influence],"national",Table1[The Six Conditions of Systems Change (WORK IN PROGRESS)],DO$1,Table1[Output contribution 1],'Quant analysis'!$DI15)+COUNTIFS(Table1[Level of influence],"national",Table1[The Six Conditions of Systems Change (WORK IN PROGRESS)],DO$1,Table1[Output contribution 2],'Quant analysis'!$DI15)+COUNTIFS(Table1[Level of influence],"national",Table1[The Six Conditions of Systems Change (WORK IN PROGRESS)],DO$1,Table1[Output contribution 3],'Quant analysis'!$DI15)+COUNTIFS(Table1[Level of influence],"national",Table1[The Six Conditions of Systems Change (WORK IN PROGRESS)],DO$1,Table1[Output contribution 4],'Quant analysis'!$DI15)+COUNTIFS(Table1[Level of influence],"national",Table1[The Six Conditions of Systems Change (WORK IN PROGRESS)],DO$1,Table1[Output contribution 5],'Quant analysis'!$DI15)</f>
        <v>0</v>
      </c>
      <c r="DP15" s="19">
        <f>COUNTIFS(Table1[Level of influence],"subnational",Table1[The Six Conditions of Systems Change (WORK IN PROGRESS)],DP$1,Table1[Output contribution 1],'Quant analysis'!$DI15)+COUNTIFS(Table1[Level of influence],"subnational",Table1[The Six Conditions of Systems Change (WORK IN PROGRESS)],DP$1,Table1[Output contribution 2],'Quant analysis'!$DI15)+COUNTIFS(Table1[Level of influence],"subnational",Table1[The Six Conditions of Systems Change (WORK IN PROGRESS)],DP$1,Table1[Output contribution 3],'Quant analysis'!$DI15)+COUNTIFS(Table1[Level of influence],"subnational",Table1[The Six Conditions of Systems Change (WORK IN PROGRESS)],DP$1,Table1[Output contribution 4],'Quant analysis'!$DI15)+COUNTIFS(Table1[Level of influence],"subnational",Table1[The Six Conditions of Systems Change (WORK IN PROGRESS)],DP$1,Table1[Output contribution 5],'Quant analysis'!$DI15)+COUNTIFS(Table1[Level of influence],"national",Table1[The Six Conditions of Systems Change (WORK IN PROGRESS)],DP$1,Table1[Output contribution 1],'Quant analysis'!$DI15)+COUNTIFS(Table1[Level of influence],"national",Table1[The Six Conditions of Systems Change (WORK IN PROGRESS)],DP$1,Table1[Output contribution 2],'Quant analysis'!$DI15)+COUNTIFS(Table1[Level of influence],"national",Table1[The Six Conditions of Systems Change (WORK IN PROGRESS)],DP$1,Table1[Output contribution 3],'Quant analysis'!$DI15)+COUNTIFS(Table1[Level of influence],"national",Table1[The Six Conditions of Systems Change (WORK IN PROGRESS)],DP$1,Table1[Output contribution 4],'Quant analysis'!$DI15)+COUNTIFS(Table1[Level of influence],"national",Table1[The Six Conditions of Systems Change (WORK IN PROGRESS)],DP$1,Table1[Output contribution 5],'Quant analysis'!$DI15)</f>
        <v>0</v>
      </c>
      <c r="DQ15" s="130"/>
      <c r="DR15" s="130"/>
      <c r="DS15" s="157" t="s">
        <v>265</v>
      </c>
      <c r="DT15" s="129">
        <f>COUNTIFS(Table1[The Six Conditions of Systems Change (WORK IN PROGRESS)],'Quant analysis'!DT$1,Table1[Level of influence],"subnational",Table1['# of quarters between first contribution statement ],'Quant analysis'!$DS15)+COUNTIFS(Table1[The Six Conditions of Systems Change (WORK IN PROGRESS)],'Quant analysis'!DT$1,Table1[Level of influence],"national",Table1['# of quarters between first contribution statement ],'Quant analysis'!$DS15)</f>
        <v>0</v>
      </c>
      <c r="DU15" s="129">
        <f>COUNTIFS(Table1[The Six Conditions of Systems Change (WORK IN PROGRESS)],'Quant analysis'!DU$1,Table1[Level of influence],"subnational",Table1['# of quarters between first contribution statement ],'Quant analysis'!$DS15)+COUNTIFS(Table1[The Six Conditions of Systems Change (WORK IN PROGRESS)],'Quant analysis'!DU$1,Table1[Level of influence],"national",Table1['# of quarters between first contribution statement ],'Quant analysis'!$DS15)</f>
        <v>0</v>
      </c>
      <c r="DV15" s="129">
        <f>COUNTIFS(Table1[The Six Conditions of Systems Change (WORK IN PROGRESS)],'Quant analysis'!DV$1,Table1[Level of influence],"subnational",Table1['# of quarters between first contribution statement ],'Quant analysis'!$DS15)+COUNTIFS(Table1[The Six Conditions of Systems Change (WORK IN PROGRESS)],'Quant analysis'!DV$1,Table1[Level of influence],"national",Table1['# of quarters between first contribution statement ],'Quant analysis'!$DS15)</f>
        <v>0</v>
      </c>
      <c r="DW15" s="129">
        <f>COUNTIFS(Table1[The Six Conditions of Systems Change (WORK IN PROGRESS)],'Quant analysis'!DW$1,Table1[Level of influence],"subnational",Table1['# of quarters between first contribution statement ],'Quant analysis'!$DS15)+COUNTIFS(Table1[The Six Conditions of Systems Change (WORK IN PROGRESS)],'Quant analysis'!DW$1,Table1[Level of influence],"national",Table1['# of quarters between first contribution statement ],'Quant analysis'!$DS15)</f>
        <v>0</v>
      </c>
      <c r="DX15" s="129">
        <f>COUNTIFS(Table1[The Six Conditions of Systems Change (WORK IN PROGRESS)],'Quant analysis'!DX$1,Table1[Level of influence],"subnational",Table1['# of quarters between first contribution statement ],'Quant analysis'!$DS15)+COUNTIFS(Table1[The Six Conditions of Systems Change (WORK IN PROGRESS)],'Quant analysis'!DX$1,Table1[Level of influence],"national",Table1['# of quarters between first contribution statement ],'Quant analysis'!$DS15)</f>
        <v>0</v>
      </c>
      <c r="DY15" s="129">
        <f>COUNTIFS(Table1[The Six Conditions of Systems Change (WORK IN PROGRESS)],'Quant analysis'!DY$1,Table1[Level of influence],"subnational",Table1['# of quarters between first contribution statement ],'Quant analysis'!$DS15)+COUNTIFS(Table1[The Six Conditions of Systems Change (WORK IN PROGRESS)],'Quant analysis'!DY$1,Table1[Level of influence],"national",Table1['# of quarters between first contribution statement ],'Quant analysis'!$DS15)</f>
        <v>0</v>
      </c>
      <c r="DZ15" s="129"/>
      <c r="EA15" s="130"/>
      <c r="EB15" s="68" t="s">
        <v>264</v>
      </c>
      <c r="EC15" s="129"/>
      <c r="ED15" s="129"/>
      <c r="EE15" s="129"/>
      <c r="EF15" s="129"/>
      <c r="EG15" s="129"/>
      <c r="EH15" s="129">
        <f>EC7</f>
        <v>0</v>
      </c>
      <c r="EI15" s="130"/>
      <c r="EJ15" s="130"/>
      <c r="EK15" s="130"/>
      <c r="EL15" s="130"/>
      <c r="EM15" s="68" t="s">
        <v>264</v>
      </c>
      <c r="EN15" s="129"/>
      <c r="EO15" s="129"/>
      <c r="EP15" s="129"/>
      <c r="EQ15" s="129"/>
      <c r="ER15" s="129"/>
      <c r="ES15" s="129">
        <f>EN7</f>
        <v>0</v>
      </c>
      <c r="ET15" s="130"/>
      <c r="EU15" s="130"/>
      <c r="EV15" s="130"/>
      <c r="EW15" s="68" t="s">
        <v>264</v>
      </c>
      <c r="EX15" s="129"/>
      <c r="EY15" s="129"/>
      <c r="EZ15" s="129"/>
      <c r="FA15" s="129"/>
      <c r="FB15" s="129"/>
      <c r="FC15" s="129">
        <f>EX7</f>
        <v>0</v>
      </c>
      <c r="FD15" s="130"/>
      <c r="FE15" s="130"/>
    </row>
    <row r="16" spans="1:161" x14ac:dyDescent="0.2">
      <c r="A16" s="104" t="s">
        <v>177</v>
      </c>
      <c r="B16" s="129">
        <f>COUNTIF(Outcomes!Q:Q,'Quant analysis'!A16)</f>
        <v>0</v>
      </c>
      <c r="C16" s="130"/>
      <c r="D16" s="130"/>
      <c r="E16" s="130"/>
      <c r="F16" s="130"/>
      <c r="G16" s="130"/>
      <c r="H16" s="130"/>
      <c r="I16" s="130"/>
      <c r="J16" s="130"/>
      <c r="K16" s="130"/>
      <c r="L16" s="130"/>
      <c r="M16" s="130"/>
      <c r="N16" s="130"/>
      <c r="O16" s="130"/>
      <c r="P16" s="130"/>
      <c r="Q16" s="130"/>
      <c r="R16" s="130"/>
      <c r="S16" s="130" t="s">
        <v>241</v>
      </c>
      <c r="T16" s="129" t="s">
        <v>172</v>
      </c>
      <c r="U16" s="129">
        <f>COUNTIF(Outcomes!$L:$L,'Quant analysis'!$T16)</f>
        <v>0</v>
      </c>
      <c r="V16" s="19">
        <f>COUNTIFS(Outcomes!$L:$L,'Quant analysis'!$T16,Outcomes!$Q:$Q,V$1)</f>
        <v>0</v>
      </c>
      <c r="W16" s="19">
        <f>COUNTIFS(Outcomes!$L:$L,'Quant analysis'!$T16,Outcomes!$Q:$Q,W$1)</f>
        <v>0</v>
      </c>
      <c r="X16" s="19">
        <f>COUNTIFS(Outcomes!$L:$L,'Quant analysis'!$T16,Outcomes!$Q:$Q,X$1)</f>
        <v>0</v>
      </c>
      <c r="Y16" s="19">
        <f>COUNTIFS(Outcomes!$L:$L,'Quant analysis'!$T16,Outcomes!$Q:$Q,Y$1)</f>
        <v>0</v>
      </c>
      <c r="Z16" s="19">
        <f>COUNTIFS(Outcomes!$L:$L,'Quant analysis'!$T16,Outcomes!$Q:$Q,Z$1)</f>
        <v>0</v>
      </c>
      <c r="AA16" s="105">
        <f>COUNTIFS(Outcomes!$L:$L,'Quant analysis'!$T16,Outcomes!$Q:$Q,AA$1)</f>
        <v>0</v>
      </c>
      <c r="AB16" s="105">
        <f>COUNTIFS(Outcomes!$L:$L,'Quant analysis'!$T16,Outcomes!$Q:$Q,AB$1)</f>
        <v>0</v>
      </c>
      <c r="AC16" s="105">
        <f>COUNTIFS(Outcomes!$L:$L,'Quant analysis'!$T16,Outcomes!$Q:$Q,AC$1)</f>
        <v>0</v>
      </c>
      <c r="AD16" s="105">
        <f>COUNTIFS(Outcomes!$L:$L,'Quant analysis'!$T16,Outcomes!$Q:$Q,AD$1)</f>
        <v>0</v>
      </c>
      <c r="AE16" s="130">
        <f t="shared" si="0"/>
        <v>0</v>
      </c>
      <c r="AF16" s="130"/>
      <c r="AG16" s="160" t="s">
        <v>248</v>
      </c>
      <c r="AH16" s="160"/>
      <c r="AI16" s="160"/>
      <c r="AJ16" s="130"/>
      <c r="AK16" s="130"/>
      <c r="AL16" s="130"/>
      <c r="AM16" s="130"/>
      <c r="AN16" s="130"/>
      <c r="AO16" s="130"/>
      <c r="AP16" s="130"/>
      <c r="AQ16" s="130">
        <f>SUM(AI15:AQ15)</f>
        <v>0</v>
      </c>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29" t="s">
        <v>263</v>
      </c>
      <c r="BU16" s="129" t="s">
        <v>134</v>
      </c>
      <c r="BV16" s="68">
        <f>COUNTIF(Outcomes!U:Y,'Quant analysis'!BU16)</f>
        <v>0</v>
      </c>
      <c r="BW16" s="19">
        <f>COUNTIFS(Outcomes!$U:$U,'Quant analysis'!$BU16,Outcomes!$Q:$Q,BW$1)+COUNTIFS(Outcomes!$V:$V,'Quant analysis'!$BU16,Outcomes!$Q:$Q,BW$1)+COUNTIFS(Outcomes!$W:$W,'Quant analysis'!$BU16,Outcomes!$Q:$Q,BW$1)+COUNTIFS(Outcomes!$X:$X,'Quant analysis'!$BU16,Outcomes!$Q:$Q,BW$1)+COUNTIFS(Outcomes!$Y:$Y,'Quant analysis'!$BU16,Outcomes!$Q:$Q,BW$1)</f>
        <v>0</v>
      </c>
      <c r="BX16" s="19">
        <f>COUNTIFS(Outcomes!$U:$U,'Quant analysis'!$BU16,Outcomes!$Q:$Q,BX$1)+COUNTIFS(Outcomes!$V:$V,'Quant analysis'!$BU16,Outcomes!$Q:$Q,BX$1)+COUNTIFS(Outcomes!$W:$W,'Quant analysis'!$BU16,Outcomes!$Q:$Q,BX$1)+COUNTIFS(Outcomes!$X:$X,'Quant analysis'!$BU16,Outcomes!$Q:$Q,BX$1)+COUNTIFS(Outcomes!$Y:$Y,'Quant analysis'!$BU16,Outcomes!$Q:$Q,BX$1)</f>
        <v>0</v>
      </c>
      <c r="BY16" s="19">
        <f>COUNTIFS(Outcomes!$U:$U,'Quant analysis'!$BU16,Outcomes!$Q:$Q,BY$1)+COUNTIFS(Outcomes!$V:$V,'Quant analysis'!$BU16,Outcomes!$Q:$Q,BY$1)+COUNTIFS(Outcomes!$W:$W,'Quant analysis'!$BU16,Outcomes!$Q:$Q,BY$1)+COUNTIFS(Outcomes!$X:$X,'Quant analysis'!$BU16,Outcomes!$Q:$Q,BY$1)+COUNTIFS(Outcomes!$Y:$Y,'Quant analysis'!$BU16,Outcomes!$Q:$Q,BY$1)</f>
        <v>0</v>
      </c>
      <c r="BZ16" s="19">
        <f>COUNTIFS(Outcomes!$U:$U,'Quant analysis'!$BU16,Outcomes!$Q:$Q,BZ$1)+COUNTIFS(Outcomes!$V:$V,'Quant analysis'!$BU16,Outcomes!$Q:$Q,BZ$1)+COUNTIFS(Outcomes!$W:$W,'Quant analysis'!$BU16,Outcomes!$Q:$Q,BZ$1)+COUNTIFS(Outcomes!$X:$X,'Quant analysis'!$BU16,Outcomes!$Q:$Q,BZ$1)+COUNTIFS(Outcomes!$Y:$Y,'Quant analysis'!$BU16,Outcomes!$Q:$Q,BZ$1)</f>
        <v>0</v>
      </c>
      <c r="CA16" s="19">
        <f>COUNTIFS(Outcomes!$U:$U,'Quant analysis'!$BU16,Outcomes!$Q:$Q,CA$1)+COUNTIFS(Outcomes!$V:$V,'Quant analysis'!$BU16,Outcomes!$Q:$Q,CA$1)+COUNTIFS(Outcomes!$W:$W,'Quant analysis'!$BU16,Outcomes!$Q:$Q,CA$1)+COUNTIFS(Outcomes!$X:$X,'Quant analysis'!$BU16,Outcomes!$Q:$Q,CA$1)+COUNTIFS(Outcomes!$Y:$Y,'Quant analysis'!$BU16,Outcomes!$Q:$Q,CA$1)</f>
        <v>0</v>
      </c>
      <c r="CB16" s="105">
        <f>COUNTIFS(Outcomes!$U:$U,'Quant analysis'!$BU16,Outcomes!$Q:$Q,CB$1)+COUNTIFS(Outcomes!$V:$V,'Quant analysis'!$BU16,Outcomes!$Q:$Q,CB$1)+COUNTIFS(Outcomes!$W:$W,'Quant analysis'!$BU16,Outcomes!$Q:$Q,CB$1)+COUNTIFS(Outcomes!$X:$X,'Quant analysis'!$BU16,Outcomes!$Q:$Q,CB$1)+COUNTIFS(Outcomes!$Y:$Y,'Quant analysis'!$BU16,Outcomes!$Q:$Q,CB$1)</f>
        <v>0</v>
      </c>
      <c r="CC16" s="105">
        <f>COUNTIFS(Outcomes!$U:$U,'Quant analysis'!$BU16,Outcomes!$Q:$Q,CC$1)+COUNTIFS(Outcomes!$V:$V,'Quant analysis'!$BU16,Outcomes!$Q:$Q,CC$1)+COUNTIFS(Outcomes!$W:$W,'Quant analysis'!$BU16,Outcomes!$Q:$Q,CC$1)+COUNTIFS(Outcomes!$X:$X,'Quant analysis'!$BU16,Outcomes!$Q:$Q,CC$1)+COUNTIFS(Outcomes!$Y:$Y,'Quant analysis'!$BU16,Outcomes!$Q:$Q,CC$1)</f>
        <v>0</v>
      </c>
      <c r="CD16" s="105">
        <f>COUNTIFS(Outcomes!$U:$U,'Quant analysis'!$BU16,Outcomes!$Q:$Q,CD$1)+COUNTIFS(Outcomes!$V:$V,'Quant analysis'!$BU16,Outcomes!$Q:$Q,CD$1)+COUNTIFS(Outcomes!$W:$W,'Quant analysis'!$BU16,Outcomes!$Q:$Q,CD$1)+COUNTIFS(Outcomes!$X:$X,'Quant analysis'!$BU16,Outcomes!$Q:$Q,CD$1)+COUNTIFS(Outcomes!$Y:$Y,'Quant analysis'!$BU16,Outcomes!$Q:$Q,CD$1)</f>
        <v>0</v>
      </c>
      <c r="CE16" s="105">
        <f>COUNTIFS(Outcomes!$U:$U,'Quant analysis'!$BU16,Outcomes!$Q:$Q,CE$1)+COUNTIFS(Outcomes!$V:$V,'Quant analysis'!$BU16,Outcomes!$Q:$Q,CE$1)+COUNTIFS(Outcomes!$W:$W,'Quant analysis'!$BU16,Outcomes!$Q:$Q,CE$1)+COUNTIFS(Outcomes!$X:$X,'Quant analysis'!$BU16,Outcomes!$Q:$Q,CE$1)+COUNTIFS(Outcomes!$Y:$Y,'Quant analysis'!$BU16,Outcomes!$Q:$Q,CE$1)</f>
        <v>0</v>
      </c>
      <c r="CF16" s="129">
        <f t="shared" si="4"/>
        <v>0</v>
      </c>
      <c r="CG16" s="130"/>
      <c r="CH16" s="130"/>
      <c r="CI16" s="130"/>
      <c r="CJ16" s="130"/>
      <c r="CK16" s="130"/>
      <c r="CL16" s="130"/>
      <c r="CM16" s="130"/>
      <c r="CN16" s="130"/>
      <c r="CO16" s="130"/>
      <c r="CP16" s="130"/>
      <c r="CQ16" s="130"/>
      <c r="CR16" s="130"/>
      <c r="CS16" s="130"/>
      <c r="CT16" s="130"/>
      <c r="CU16" s="130"/>
      <c r="CV16" s="131"/>
      <c r="CW16" s="130"/>
      <c r="CX16" s="130"/>
      <c r="CY16" s="130"/>
      <c r="CZ16" s="130"/>
      <c r="DA16" s="130"/>
      <c r="DB16" s="130"/>
      <c r="DC16" s="130"/>
      <c r="DD16" s="130">
        <f>SUM(DD13:DD15)</f>
        <v>0</v>
      </c>
      <c r="DE16" s="130"/>
      <c r="DF16" s="130"/>
      <c r="DG16" s="130"/>
      <c r="DH16" s="129" t="s">
        <v>263</v>
      </c>
      <c r="DI16" s="129" t="s">
        <v>134</v>
      </c>
      <c r="DJ16" s="68">
        <f t="shared" si="7"/>
        <v>0</v>
      </c>
      <c r="DK16" s="19">
        <f>COUNTIFS(Table1[Level of influence],"subnational",Table1[The Six Conditions of Systems Change (WORK IN PROGRESS)],"Policies",Table1[Output contribution 1],'Quant analysis'!DI16)+COUNTIFS(Table1[Level of influence],"subnational",Table1[The Six Conditions of Systems Change (WORK IN PROGRESS)],"Policies",Table1[Output contribution 2],'Quant analysis'!DI16)+COUNTIFS(Table1[Level of influence],"subnational",Table1[The Six Conditions of Systems Change (WORK IN PROGRESS)],"Policies",Table1[Output contribution 3],'Quant analysis'!DI16)+COUNTIFS(Table1[Level of influence],"subnational",Table1[The Six Conditions of Systems Change (WORK IN PROGRESS)],"Policies",Table1[Output contribution 4],'Quant analysis'!DI16)+COUNTIFS(Table1[Level of influence],"subnational",Table1[The Six Conditions of Systems Change (WORK IN PROGRESS)],"Policies",Table1[Output contribution 5],'Quant analysis'!DI16)+COUNTIFS(Table1[Level of influence],"national",Table1[The Six Conditions of Systems Change (WORK IN PROGRESS)],"Policies",Table1[Output contribution 1],'Quant analysis'!DI16)+COUNTIFS(Table1[Level of influence],"national",Table1[The Six Conditions of Systems Change (WORK IN PROGRESS)],"Policies",Table1[Output contribution 2],'Quant analysis'!DI16)+COUNTIFS(Table1[Level of influence],"national",Table1[The Six Conditions of Systems Change (WORK IN PROGRESS)],"Policies",Table1[Output contribution 3],'Quant analysis'!DI16)+COUNTIFS(Table1[Level of influence],"national",Table1[The Six Conditions of Systems Change (WORK IN PROGRESS)],"Policies",Table1[Output contribution 4],'Quant analysis'!DI16)+COUNTIFS(Table1[Level of influence],"national",Table1[The Six Conditions of Systems Change (WORK IN PROGRESS)],"Policies",Table1[Output contribution 5],'Quant analysis'!DI16)</f>
        <v>0</v>
      </c>
      <c r="DL16" s="19">
        <f>COUNTIFS(Table1[Level of influence],"subnational",Table1[The Six Conditions of Systems Change (WORK IN PROGRESS)],"Practices",Table1[Output contribution 1],'Quant analysis'!$DI16)+COUNTIFS(Table1[Level of influence],"subnational",Table1[The Six Conditions of Systems Change (WORK IN PROGRESS)],"Practices",Table1[Output contribution 2],'Quant analysis'!$DI16)+COUNTIFS(Table1[Level of influence],"subnational",Table1[The Six Conditions of Systems Change (WORK IN PROGRESS)],"Practices",Table1[Output contribution 3],'Quant analysis'!$DI16)+COUNTIFS(Table1[Level of influence],"subnational",Table1[The Six Conditions of Systems Change (WORK IN PROGRESS)],"Practices",Table1[Output contribution 4],'Quant analysis'!$DI16)+COUNTIFS(Table1[Level of influence],"subnational",Table1[The Six Conditions of Systems Change (WORK IN PROGRESS)],"Practices",Table1[Output contribution 5],'Quant analysis'!$DI16)+COUNTIFS(Table1[Level of influence],"national",Table1[The Six Conditions of Systems Change (WORK IN PROGRESS)],"Practices",Table1[Output contribution 1],'Quant analysis'!$DI16)+COUNTIFS(Table1[Level of influence],"national",Table1[The Six Conditions of Systems Change (WORK IN PROGRESS)],"Practices",Table1[Output contribution 2],'Quant analysis'!$DI16)+COUNTIFS(Table1[Level of influence],"national",Table1[The Six Conditions of Systems Change (WORK IN PROGRESS)],"Practices",Table1[Output contribution 3],'Quant analysis'!$DI16)+COUNTIFS(Table1[Level of influence],"national",Table1[The Six Conditions of Systems Change (WORK IN PROGRESS)],"Practices",Table1[Output contribution 4],'Quant analysis'!$DI16)+COUNTIFS(Table1[Level of influence],"national",Table1[The Six Conditions of Systems Change (WORK IN PROGRESS)],"Practices",Table1[Output contribution 5],'Quant analysis'!$DI16)</f>
        <v>0</v>
      </c>
      <c r="DM16" s="19">
        <f>COUNTIFS(Table1[Level of influence],"subnational",Table1[The Six Conditions of Systems Change (WORK IN PROGRESS)],DM$1,Table1[Output contribution 1],'Quant analysis'!$DI16)+COUNTIFS(Table1[Level of influence],"subnational",Table1[The Six Conditions of Systems Change (WORK IN PROGRESS)],DM$1,Table1[Output contribution 2],'Quant analysis'!$DI16)+COUNTIFS(Table1[Level of influence],"subnational",Table1[The Six Conditions of Systems Change (WORK IN PROGRESS)],DM$1,Table1[Output contribution 3],'Quant analysis'!$DI16)+COUNTIFS(Table1[Level of influence],"subnational",Table1[The Six Conditions of Systems Change (WORK IN PROGRESS)],DM$1,Table1[Output contribution 4],'Quant analysis'!$DI16)+COUNTIFS(Table1[Level of influence],"subnational",Table1[The Six Conditions of Systems Change (WORK IN PROGRESS)],DM$1,Table1[Output contribution 5],'Quant analysis'!$DI16)+COUNTIFS(Table1[Level of influence],"national",Table1[The Six Conditions of Systems Change (WORK IN PROGRESS)],DM$1,Table1[Output contribution 1],'Quant analysis'!$DI16)+COUNTIFS(Table1[Level of influence],"national",Table1[The Six Conditions of Systems Change (WORK IN PROGRESS)],DM$1,Table1[Output contribution 2],'Quant analysis'!$DI16)+COUNTIFS(Table1[Level of influence],"national",Table1[The Six Conditions of Systems Change (WORK IN PROGRESS)],DM$1,Table1[Output contribution 3],'Quant analysis'!$DI16)+COUNTIFS(Table1[Level of influence],"national",Table1[The Six Conditions of Systems Change (WORK IN PROGRESS)],DM$1,Table1[Output contribution 4],'Quant analysis'!$DI16)+COUNTIFS(Table1[Level of influence],"national",Table1[The Six Conditions of Systems Change (WORK IN PROGRESS)],DM$1,Table1[Output contribution 5],'Quant analysis'!$DI16)</f>
        <v>0</v>
      </c>
      <c r="DN16" s="19">
        <f>COUNTIFS(Table1[Level of influence],"subnational",Table1[The Six Conditions of Systems Change (WORK IN PROGRESS)],DN$1,Table1[Output contribution 1],'Quant analysis'!$DI16)+COUNTIFS(Table1[Level of influence],"subnational",Table1[The Six Conditions of Systems Change (WORK IN PROGRESS)],DN$1,Table1[Output contribution 2],'Quant analysis'!$DI16)+COUNTIFS(Table1[Level of influence],"subnational",Table1[The Six Conditions of Systems Change (WORK IN PROGRESS)],DN$1,Table1[Output contribution 3],'Quant analysis'!$DI16)+COUNTIFS(Table1[Level of influence],"subnational",Table1[The Six Conditions of Systems Change (WORK IN PROGRESS)],DN$1,Table1[Output contribution 4],'Quant analysis'!$DI16)+COUNTIFS(Table1[Level of influence],"subnational",Table1[The Six Conditions of Systems Change (WORK IN PROGRESS)],DN$1,Table1[Output contribution 5],'Quant analysis'!$DI16)+COUNTIFS(Table1[Level of influence],"national",Table1[The Six Conditions of Systems Change (WORK IN PROGRESS)],DN$1,Table1[Output contribution 1],'Quant analysis'!$DI16)+COUNTIFS(Table1[Level of influence],"national",Table1[The Six Conditions of Systems Change (WORK IN PROGRESS)],DN$1,Table1[Output contribution 2],'Quant analysis'!$DI16)+COUNTIFS(Table1[Level of influence],"national",Table1[The Six Conditions of Systems Change (WORK IN PROGRESS)],DN$1,Table1[Output contribution 3],'Quant analysis'!$DI16)+COUNTIFS(Table1[Level of influence],"national",Table1[The Six Conditions of Systems Change (WORK IN PROGRESS)],DN$1,Table1[Output contribution 4],'Quant analysis'!$DI16)+COUNTIFS(Table1[Level of influence],"national",Table1[The Six Conditions of Systems Change (WORK IN PROGRESS)],DN$1,Table1[Output contribution 5],'Quant analysis'!$DI16)</f>
        <v>0</v>
      </c>
      <c r="DO16" s="19">
        <f>COUNTIFS(Table1[Level of influence],"subnational",Table1[The Six Conditions of Systems Change (WORK IN PROGRESS)],DO$1,Table1[Output contribution 1],'Quant analysis'!$DI16)+COUNTIFS(Table1[Level of influence],"subnational",Table1[The Six Conditions of Systems Change (WORK IN PROGRESS)],DO$1,Table1[Output contribution 2],'Quant analysis'!$DI16)+COUNTIFS(Table1[Level of influence],"subnational",Table1[The Six Conditions of Systems Change (WORK IN PROGRESS)],DO$1,Table1[Output contribution 3],'Quant analysis'!$DI16)+COUNTIFS(Table1[Level of influence],"subnational",Table1[The Six Conditions of Systems Change (WORK IN PROGRESS)],DO$1,Table1[Output contribution 4],'Quant analysis'!$DI16)+COUNTIFS(Table1[Level of influence],"subnational",Table1[The Six Conditions of Systems Change (WORK IN PROGRESS)],DO$1,Table1[Output contribution 5],'Quant analysis'!$DI16)+COUNTIFS(Table1[Level of influence],"national",Table1[The Six Conditions of Systems Change (WORK IN PROGRESS)],DO$1,Table1[Output contribution 1],'Quant analysis'!$DI16)+COUNTIFS(Table1[Level of influence],"national",Table1[The Six Conditions of Systems Change (WORK IN PROGRESS)],DO$1,Table1[Output contribution 2],'Quant analysis'!$DI16)+COUNTIFS(Table1[Level of influence],"national",Table1[The Six Conditions of Systems Change (WORK IN PROGRESS)],DO$1,Table1[Output contribution 3],'Quant analysis'!$DI16)+COUNTIFS(Table1[Level of influence],"national",Table1[The Six Conditions of Systems Change (WORK IN PROGRESS)],DO$1,Table1[Output contribution 4],'Quant analysis'!$DI16)+COUNTIFS(Table1[Level of influence],"national",Table1[The Six Conditions of Systems Change (WORK IN PROGRESS)],DO$1,Table1[Output contribution 5],'Quant analysis'!$DI16)</f>
        <v>0</v>
      </c>
      <c r="DP16" s="19">
        <f>COUNTIFS(Table1[Level of influence],"subnational",Table1[The Six Conditions of Systems Change (WORK IN PROGRESS)],DP$1,Table1[Output contribution 1],'Quant analysis'!$DI16)+COUNTIFS(Table1[Level of influence],"subnational",Table1[The Six Conditions of Systems Change (WORK IN PROGRESS)],DP$1,Table1[Output contribution 2],'Quant analysis'!$DI16)+COUNTIFS(Table1[Level of influence],"subnational",Table1[The Six Conditions of Systems Change (WORK IN PROGRESS)],DP$1,Table1[Output contribution 3],'Quant analysis'!$DI16)+COUNTIFS(Table1[Level of influence],"subnational",Table1[The Six Conditions of Systems Change (WORK IN PROGRESS)],DP$1,Table1[Output contribution 4],'Quant analysis'!$DI16)+COUNTIFS(Table1[Level of influence],"subnational",Table1[The Six Conditions of Systems Change (WORK IN PROGRESS)],DP$1,Table1[Output contribution 5],'Quant analysis'!$DI16)+COUNTIFS(Table1[Level of influence],"national",Table1[The Six Conditions of Systems Change (WORK IN PROGRESS)],DP$1,Table1[Output contribution 1],'Quant analysis'!$DI16)+COUNTIFS(Table1[Level of influence],"national",Table1[The Six Conditions of Systems Change (WORK IN PROGRESS)],DP$1,Table1[Output contribution 2],'Quant analysis'!$DI16)+COUNTIFS(Table1[Level of influence],"national",Table1[The Six Conditions of Systems Change (WORK IN PROGRESS)],DP$1,Table1[Output contribution 3],'Quant analysis'!$DI16)+COUNTIFS(Table1[Level of influence],"national",Table1[The Six Conditions of Systems Change (WORK IN PROGRESS)],DP$1,Table1[Output contribution 4],'Quant analysis'!$DI16)+COUNTIFS(Table1[Level of influence],"national",Table1[The Six Conditions of Systems Change (WORK IN PROGRESS)],DP$1,Table1[Output contribution 5],'Quant analysis'!$DI16)</f>
        <v>0</v>
      </c>
      <c r="DQ16" s="130"/>
      <c r="DR16" s="130"/>
      <c r="DS16" s="157" t="s">
        <v>266</v>
      </c>
      <c r="DT16" s="129">
        <f>COUNTIFS(Table1[The Six Conditions of Systems Change (WORK IN PROGRESS)],'Quant analysis'!DT$1,Table1[Level of influence],"subnational",Table1['# of quarters between first contribution statement ],'Quant analysis'!$DS16)+COUNTIFS(Table1[The Six Conditions of Systems Change (WORK IN PROGRESS)],'Quant analysis'!DT$1,Table1[Level of influence],"national",Table1['# of quarters between first contribution statement ],'Quant analysis'!$DS16)</f>
        <v>0</v>
      </c>
      <c r="DU16" s="129">
        <f>COUNTIFS(Table1[The Six Conditions of Systems Change (WORK IN PROGRESS)],'Quant analysis'!DU$1,Table1[Level of influence],"subnational",Table1['# of quarters between first contribution statement ],'Quant analysis'!$DS16)+COUNTIFS(Table1[The Six Conditions of Systems Change (WORK IN PROGRESS)],'Quant analysis'!DU$1,Table1[Level of influence],"national",Table1['# of quarters between first contribution statement ],'Quant analysis'!$DS16)</f>
        <v>0</v>
      </c>
      <c r="DV16" s="129">
        <f>COUNTIFS(Table1[The Six Conditions of Systems Change (WORK IN PROGRESS)],'Quant analysis'!DV$1,Table1[Level of influence],"subnational",Table1['# of quarters between first contribution statement ],'Quant analysis'!$DS16)+COUNTIFS(Table1[The Six Conditions of Systems Change (WORK IN PROGRESS)],'Quant analysis'!DV$1,Table1[Level of influence],"national",Table1['# of quarters between first contribution statement ],'Quant analysis'!$DS16)</f>
        <v>0</v>
      </c>
      <c r="DW16" s="129">
        <f>COUNTIFS(Table1[The Six Conditions of Systems Change (WORK IN PROGRESS)],'Quant analysis'!DW$1,Table1[Level of influence],"subnational",Table1['# of quarters between first contribution statement ],'Quant analysis'!$DS16)+COUNTIFS(Table1[The Six Conditions of Systems Change (WORK IN PROGRESS)],'Quant analysis'!DW$1,Table1[Level of influence],"national",Table1['# of quarters between first contribution statement ],'Quant analysis'!$DS16)</f>
        <v>0</v>
      </c>
      <c r="DX16" s="129">
        <f>COUNTIFS(Table1[The Six Conditions of Systems Change (WORK IN PROGRESS)],'Quant analysis'!DX$1,Table1[Level of influence],"subnational",Table1['# of quarters between first contribution statement ],'Quant analysis'!$DS16)+COUNTIFS(Table1[The Six Conditions of Systems Change (WORK IN PROGRESS)],'Quant analysis'!DX$1,Table1[Level of influence],"national",Table1['# of quarters between first contribution statement ],'Quant analysis'!$DS16)</f>
        <v>0</v>
      </c>
      <c r="DY16" s="129">
        <f>COUNTIFS(Table1[The Six Conditions of Systems Change (WORK IN PROGRESS)],'Quant analysis'!DY$1,Table1[Level of influence],"subnational",Table1['# of quarters between first contribution statement ],'Quant analysis'!$DS16)+COUNTIFS(Table1[The Six Conditions of Systems Change (WORK IN PROGRESS)],'Quant analysis'!DY$1,Table1[Level of influence],"national",Table1['# of quarters between first contribution statement ],'Quant analysis'!$DS16)</f>
        <v>0</v>
      </c>
      <c r="DZ16" s="129"/>
      <c r="EA16" s="130"/>
      <c r="EB16" s="130"/>
      <c r="EC16" s="130"/>
      <c r="ED16" s="130"/>
      <c r="EE16" s="130"/>
      <c r="EF16" s="130"/>
      <c r="EG16" s="130"/>
      <c r="EH16" s="130">
        <f>SUM(EC13:EH15)</f>
        <v>0</v>
      </c>
      <c r="EI16" s="130"/>
      <c r="EJ16" s="130"/>
      <c r="EK16" s="130"/>
      <c r="EL16" s="130"/>
      <c r="EM16" s="130"/>
      <c r="EN16" s="130"/>
      <c r="EO16" s="130"/>
      <c r="EP16" s="130"/>
      <c r="EQ16" s="130"/>
      <c r="ER16" s="130"/>
      <c r="ES16" s="130">
        <f>SUM(EN13:ES15)</f>
        <v>0</v>
      </c>
      <c r="ET16" s="130"/>
      <c r="EU16" s="130"/>
      <c r="EV16" s="130"/>
      <c r="EW16" s="130"/>
      <c r="EX16" s="130"/>
      <c r="EY16" s="130"/>
      <c r="EZ16" s="130"/>
      <c r="FA16" s="130"/>
      <c r="FB16" s="130"/>
      <c r="FC16" s="130">
        <f>SUM(EX13:FC15)</f>
        <v>0</v>
      </c>
      <c r="FD16" s="130"/>
      <c r="FE16" s="130"/>
    </row>
    <row r="17" spans="1:161" x14ac:dyDescent="0.2">
      <c r="A17" s="104" t="s">
        <v>100</v>
      </c>
      <c r="B17" s="129">
        <f>COUNTIF(Outcomes!Q:Q,'Quant analysis'!A17)</f>
        <v>0</v>
      </c>
      <c r="C17" s="130"/>
      <c r="D17" s="130"/>
      <c r="E17" s="130"/>
      <c r="F17" s="130"/>
      <c r="G17" s="130"/>
      <c r="H17" s="130"/>
      <c r="I17" s="130"/>
      <c r="J17" s="130"/>
      <c r="K17" s="130"/>
      <c r="L17" s="130"/>
      <c r="M17" s="130"/>
      <c r="N17" s="130"/>
      <c r="O17" s="130"/>
      <c r="P17" s="130"/>
      <c r="Q17" s="130"/>
      <c r="R17" s="130"/>
      <c r="S17" s="130" t="s">
        <v>244</v>
      </c>
      <c r="T17" s="129" t="s">
        <v>173</v>
      </c>
      <c r="U17" s="129">
        <f>COUNTIF(Outcomes!$L:$L,'Quant analysis'!$T17)</f>
        <v>0</v>
      </c>
      <c r="V17" s="19">
        <f>COUNTIFS(Outcomes!$L:$L,'Quant analysis'!$T17,Outcomes!$Q:$Q,V$1)</f>
        <v>0</v>
      </c>
      <c r="W17" s="19">
        <f>COUNTIFS(Outcomes!$L:$L,'Quant analysis'!$T17,Outcomes!$Q:$Q,W$1)</f>
        <v>0</v>
      </c>
      <c r="X17" s="19">
        <f>COUNTIFS(Outcomes!$L:$L,'Quant analysis'!$T17,Outcomes!$Q:$Q,X$1)</f>
        <v>0</v>
      </c>
      <c r="Y17" s="19">
        <f>COUNTIFS(Outcomes!$L:$L,'Quant analysis'!$T17,Outcomes!$Q:$Q,Y$1)</f>
        <v>0</v>
      </c>
      <c r="Z17" s="19">
        <f>COUNTIFS(Outcomes!$L:$L,'Quant analysis'!$T17,Outcomes!$Q:$Q,Z$1)</f>
        <v>0</v>
      </c>
      <c r="AA17" s="105">
        <f>COUNTIFS(Outcomes!$L:$L,'Quant analysis'!$T17,Outcomes!$Q:$Q,AA$1)</f>
        <v>0</v>
      </c>
      <c r="AB17" s="105">
        <f>COUNTIFS(Outcomes!$L:$L,'Quant analysis'!$T17,Outcomes!$Q:$Q,AB$1)</f>
        <v>0</v>
      </c>
      <c r="AC17" s="105">
        <f>COUNTIFS(Outcomes!$L:$L,'Quant analysis'!$T17,Outcomes!$Q:$Q,AC$1)</f>
        <v>0</v>
      </c>
      <c r="AD17" s="105">
        <f>COUNTIFS(Outcomes!$L:$L,'Quant analysis'!$T17,Outcomes!$Q:$Q,AD$1)</f>
        <v>0</v>
      </c>
      <c r="AE17" s="130">
        <f t="shared" si="0"/>
        <v>0</v>
      </c>
      <c r="AF17" s="130"/>
      <c r="AG17" s="130"/>
      <c r="AH17" s="130"/>
      <c r="AI17" s="130"/>
      <c r="AJ17" s="130"/>
      <c r="AK17" s="130"/>
      <c r="AL17" s="26" t="s">
        <v>250</v>
      </c>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29"/>
      <c r="BU17" s="129" t="s">
        <v>153</v>
      </c>
      <c r="BV17" s="68">
        <f>COUNTIF(Outcomes!U:Y,'Quant analysis'!BU17)</f>
        <v>0</v>
      </c>
      <c r="BW17" s="19">
        <f>COUNTIFS(Outcomes!$U:$U,'Quant analysis'!$BU17,Outcomes!$Q:$Q,BW$1)+COUNTIFS(Outcomes!$V:$V,'Quant analysis'!$BU17,Outcomes!$Q:$Q,BW$1)+COUNTIFS(Outcomes!$W:$W,'Quant analysis'!$BU17,Outcomes!$Q:$Q,BW$1)+COUNTIFS(Outcomes!$X:$X,'Quant analysis'!$BU17,Outcomes!$Q:$Q,BW$1)+COUNTIFS(Outcomes!$Y:$Y,'Quant analysis'!$BU17,Outcomes!$Q:$Q,BW$1)</f>
        <v>0</v>
      </c>
      <c r="BX17" s="19">
        <f>COUNTIFS(Outcomes!$U:$U,'Quant analysis'!$BU17,Outcomes!$Q:$Q,BX$1)+COUNTIFS(Outcomes!$V:$V,'Quant analysis'!$BU17,Outcomes!$Q:$Q,BX$1)+COUNTIFS(Outcomes!$W:$W,'Quant analysis'!$BU17,Outcomes!$Q:$Q,BX$1)+COUNTIFS(Outcomes!$X:$X,'Quant analysis'!$BU17,Outcomes!$Q:$Q,BX$1)+COUNTIFS(Outcomes!$Y:$Y,'Quant analysis'!$BU17,Outcomes!$Q:$Q,BX$1)</f>
        <v>0</v>
      </c>
      <c r="BY17" s="19">
        <f>COUNTIFS(Outcomes!$U:$U,'Quant analysis'!$BU17,Outcomes!$Q:$Q,BY$1)+COUNTIFS(Outcomes!$V:$V,'Quant analysis'!$BU17,Outcomes!$Q:$Q,BY$1)+COUNTIFS(Outcomes!$W:$W,'Quant analysis'!$BU17,Outcomes!$Q:$Q,BY$1)+COUNTIFS(Outcomes!$X:$X,'Quant analysis'!$BU17,Outcomes!$Q:$Q,BY$1)+COUNTIFS(Outcomes!$Y:$Y,'Quant analysis'!$BU17,Outcomes!$Q:$Q,BY$1)</f>
        <v>0</v>
      </c>
      <c r="BZ17" s="19">
        <f>COUNTIFS(Outcomes!$U:$U,'Quant analysis'!$BU17,Outcomes!$Q:$Q,BZ$1)+COUNTIFS(Outcomes!$V:$V,'Quant analysis'!$BU17,Outcomes!$Q:$Q,BZ$1)+COUNTIFS(Outcomes!$W:$W,'Quant analysis'!$BU17,Outcomes!$Q:$Q,BZ$1)+COUNTIFS(Outcomes!$X:$X,'Quant analysis'!$BU17,Outcomes!$Q:$Q,BZ$1)+COUNTIFS(Outcomes!$Y:$Y,'Quant analysis'!$BU17,Outcomes!$Q:$Q,BZ$1)</f>
        <v>0</v>
      </c>
      <c r="CA17" s="19">
        <f>COUNTIFS(Outcomes!$U:$U,'Quant analysis'!$BU17,Outcomes!$Q:$Q,CA$1)+COUNTIFS(Outcomes!$V:$V,'Quant analysis'!$BU17,Outcomes!$Q:$Q,CA$1)+COUNTIFS(Outcomes!$W:$W,'Quant analysis'!$BU17,Outcomes!$Q:$Q,CA$1)+COUNTIFS(Outcomes!$X:$X,'Quant analysis'!$BU17,Outcomes!$Q:$Q,CA$1)+COUNTIFS(Outcomes!$Y:$Y,'Quant analysis'!$BU17,Outcomes!$Q:$Q,CA$1)</f>
        <v>0</v>
      </c>
      <c r="CB17" s="105">
        <f>COUNTIFS(Outcomes!$U:$U,'Quant analysis'!$BU17,Outcomes!$Q:$Q,CB$1)+COUNTIFS(Outcomes!$V:$V,'Quant analysis'!$BU17,Outcomes!$Q:$Q,CB$1)+COUNTIFS(Outcomes!$W:$W,'Quant analysis'!$BU17,Outcomes!$Q:$Q,CB$1)+COUNTIFS(Outcomes!$X:$X,'Quant analysis'!$BU17,Outcomes!$Q:$Q,CB$1)+COUNTIFS(Outcomes!$Y:$Y,'Quant analysis'!$BU17,Outcomes!$Q:$Q,CB$1)</f>
        <v>0</v>
      </c>
      <c r="CC17" s="105">
        <f>COUNTIFS(Outcomes!$U:$U,'Quant analysis'!$BU17,Outcomes!$Q:$Q,CC$1)+COUNTIFS(Outcomes!$V:$V,'Quant analysis'!$BU17,Outcomes!$Q:$Q,CC$1)+COUNTIFS(Outcomes!$W:$W,'Quant analysis'!$BU17,Outcomes!$Q:$Q,CC$1)+COUNTIFS(Outcomes!$X:$X,'Quant analysis'!$BU17,Outcomes!$Q:$Q,CC$1)+COUNTIFS(Outcomes!$Y:$Y,'Quant analysis'!$BU17,Outcomes!$Q:$Q,CC$1)</f>
        <v>0</v>
      </c>
      <c r="CD17" s="105">
        <f>COUNTIFS(Outcomes!$U:$U,'Quant analysis'!$BU17,Outcomes!$Q:$Q,CD$1)+COUNTIFS(Outcomes!$V:$V,'Quant analysis'!$BU17,Outcomes!$Q:$Q,CD$1)+COUNTIFS(Outcomes!$W:$W,'Quant analysis'!$BU17,Outcomes!$Q:$Q,CD$1)+COUNTIFS(Outcomes!$X:$X,'Quant analysis'!$BU17,Outcomes!$Q:$Q,CD$1)+COUNTIFS(Outcomes!$Y:$Y,'Quant analysis'!$BU17,Outcomes!$Q:$Q,CD$1)</f>
        <v>0</v>
      </c>
      <c r="CE17" s="105">
        <f>COUNTIFS(Outcomes!$U:$U,'Quant analysis'!$BU17,Outcomes!$Q:$Q,CE$1)+COUNTIFS(Outcomes!$V:$V,'Quant analysis'!$BU17,Outcomes!$Q:$Q,CE$1)+COUNTIFS(Outcomes!$W:$W,'Quant analysis'!$BU17,Outcomes!$Q:$Q,CE$1)+COUNTIFS(Outcomes!$X:$X,'Quant analysis'!$BU17,Outcomes!$Q:$Q,CE$1)+COUNTIFS(Outcomes!$Y:$Y,'Quant analysis'!$BU17,Outcomes!$Q:$Q,CE$1)</f>
        <v>0</v>
      </c>
      <c r="CF17" s="129">
        <f t="shared" si="4"/>
        <v>0</v>
      </c>
      <c r="CG17" s="130"/>
      <c r="CH17" s="130"/>
      <c r="CI17" s="130"/>
      <c r="CJ17" s="130"/>
      <c r="CK17" s="130"/>
      <c r="CL17" s="130"/>
      <c r="CM17" s="130"/>
      <c r="CN17" s="130"/>
      <c r="CO17" s="130"/>
      <c r="CP17" s="130"/>
      <c r="CR17" s="130"/>
      <c r="CS17" s="130"/>
      <c r="CT17" s="130"/>
      <c r="CU17" s="130"/>
      <c r="CV17" s="131"/>
      <c r="CW17" s="130"/>
      <c r="CX17" s="130"/>
      <c r="CY17" s="130"/>
      <c r="CZ17" s="130"/>
      <c r="DA17" s="130"/>
      <c r="DB17" s="130"/>
      <c r="DC17" s="130"/>
      <c r="DD17" s="130"/>
      <c r="DE17" s="130"/>
      <c r="DF17" s="130"/>
      <c r="DG17" s="130"/>
      <c r="DH17" s="129"/>
      <c r="DI17" s="129" t="s">
        <v>153</v>
      </c>
      <c r="DJ17" s="68">
        <f t="shared" si="7"/>
        <v>0</v>
      </c>
      <c r="DK17" s="19">
        <f>COUNTIFS(Table1[Level of influence],"subnational",Table1[The Six Conditions of Systems Change (WORK IN PROGRESS)],"Policies",Table1[Output contribution 1],'Quant analysis'!DI17)+COUNTIFS(Table1[Level of influence],"subnational",Table1[The Six Conditions of Systems Change (WORK IN PROGRESS)],"Policies",Table1[Output contribution 2],'Quant analysis'!DI17)+COUNTIFS(Table1[Level of influence],"subnational",Table1[The Six Conditions of Systems Change (WORK IN PROGRESS)],"Policies",Table1[Output contribution 3],'Quant analysis'!DI17)+COUNTIFS(Table1[Level of influence],"subnational",Table1[The Six Conditions of Systems Change (WORK IN PROGRESS)],"Policies",Table1[Output contribution 4],'Quant analysis'!DI17)+COUNTIFS(Table1[Level of influence],"subnational",Table1[The Six Conditions of Systems Change (WORK IN PROGRESS)],"Policies",Table1[Output contribution 5],'Quant analysis'!DI17)+COUNTIFS(Table1[Level of influence],"national",Table1[The Six Conditions of Systems Change (WORK IN PROGRESS)],"Policies",Table1[Output contribution 1],'Quant analysis'!DI17)+COUNTIFS(Table1[Level of influence],"national",Table1[The Six Conditions of Systems Change (WORK IN PROGRESS)],"Policies",Table1[Output contribution 2],'Quant analysis'!DI17)+COUNTIFS(Table1[Level of influence],"national",Table1[The Six Conditions of Systems Change (WORK IN PROGRESS)],"Policies",Table1[Output contribution 3],'Quant analysis'!DI17)+COUNTIFS(Table1[Level of influence],"national",Table1[The Six Conditions of Systems Change (WORK IN PROGRESS)],"Policies",Table1[Output contribution 4],'Quant analysis'!DI17)+COUNTIFS(Table1[Level of influence],"national",Table1[The Six Conditions of Systems Change (WORK IN PROGRESS)],"Policies",Table1[Output contribution 5],'Quant analysis'!DI17)</f>
        <v>0</v>
      </c>
      <c r="DL17" s="19">
        <f>COUNTIFS(Table1[Level of influence],"subnational",Table1[The Six Conditions of Systems Change (WORK IN PROGRESS)],"Practices",Table1[Output contribution 1],'Quant analysis'!$DI17)+COUNTIFS(Table1[Level of influence],"subnational",Table1[The Six Conditions of Systems Change (WORK IN PROGRESS)],"Practices",Table1[Output contribution 2],'Quant analysis'!$DI17)+COUNTIFS(Table1[Level of influence],"subnational",Table1[The Six Conditions of Systems Change (WORK IN PROGRESS)],"Practices",Table1[Output contribution 3],'Quant analysis'!$DI17)+COUNTIFS(Table1[Level of influence],"subnational",Table1[The Six Conditions of Systems Change (WORK IN PROGRESS)],"Practices",Table1[Output contribution 4],'Quant analysis'!$DI17)+COUNTIFS(Table1[Level of influence],"subnational",Table1[The Six Conditions of Systems Change (WORK IN PROGRESS)],"Practices",Table1[Output contribution 5],'Quant analysis'!$DI17)+COUNTIFS(Table1[Level of influence],"national",Table1[The Six Conditions of Systems Change (WORK IN PROGRESS)],"Practices",Table1[Output contribution 1],'Quant analysis'!$DI17)+COUNTIFS(Table1[Level of influence],"national",Table1[The Six Conditions of Systems Change (WORK IN PROGRESS)],"Practices",Table1[Output contribution 2],'Quant analysis'!$DI17)+COUNTIFS(Table1[Level of influence],"national",Table1[The Six Conditions of Systems Change (WORK IN PROGRESS)],"Practices",Table1[Output contribution 3],'Quant analysis'!$DI17)+COUNTIFS(Table1[Level of influence],"national",Table1[The Six Conditions of Systems Change (WORK IN PROGRESS)],"Practices",Table1[Output contribution 4],'Quant analysis'!$DI17)+COUNTIFS(Table1[Level of influence],"national",Table1[The Six Conditions of Systems Change (WORK IN PROGRESS)],"Practices",Table1[Output contribution 5],'Quant analysis'!$DI17)</f>
        <v>0</v>
      </c>
      <c r="DM17" s="19">
        <f>COUNTIFS(Table1[Level of influence],"subnational",Table1[The Six Conditions of Systems Change (WORK IN PROGRESS)],DM$1,Table1[Output contribution 1],'Quant analysis'!$DI17)+COUNTIFS(Table1[Level of influence],"subnational",Table1[The Six Conditions of Systems Change (WORK IN PROGRESS)],DM$1,Table1[Output contribution 2],'Quant analysis'!$DI17)+COUNTIFS(Table1[Level of influence],"subnational",Table1[The Six Conditions of Systems Change (WORK IN PROGRESS)],DM$1,Table1[Output contribution 3],'Quant analysis'!$DI17)+COUNTIFS(Table1[Level of influence],"subnational",Table1[The Six Conditions of Systems Change (WORK IN PROGRESS)],DM$1,Table1[Output contribution 4],'Quant analysis'!$DI17)+COUNTIFS(Table1[Level of influence],"subnational",Table1[The Six Conditions of Systems Change (WORK IN PROGRESS)],DM$1,Table1[Output contribution 5],'Quant analysis'!$DI17)+COUNTIFS(Table1[Level of influence],"national",Table1[The Six Conditions of Systems Change (WORK IN PROGRESS)],DM$1,Table1[Output contribution 1],'Quant analysis'!$DI17)+COUNTIFS(Table1[Level of influence],"national",Table1[The Six Conditions of Systems Change (WORK IN PROGRESS)],DM$1,Table1[Output contribution 2],'Quant analysis'!$DI17)+COUNTIFS(Table1[Level of influence],"national",Table1[The Six Conditions of Systems Change (WORK IN PROGRESS)],DM$1,Table1[Output contribution 3],'Quant analysis'!$DI17)+COUNTIFS(Table1[Level of influence],"national",Table1[The Six Conditions of Systems Change (WORK IN PROGRESS)],DM$1,Table1[Output contribution 4],'Quant analysis'!$DI17)+COUNTIFS(Table1[Level of influence],"national",Table1[The Six Conditions of Systems Change (WORK IN PROGRESS)],DM$1,Table1[Output contribution 5],'Quant analysis'!$DI17)</f>
        <v>0</v>
      </c>
      <c r="DN17" s="19">
        <f>COUNTIFS(Table1[Level of influence],"subnational",Table1[The Six Conditions of Systems Change (WORK IN PROGRESS)],DN$1,Table1[Output contribution 1],'Quant analysis'!$DI17)+COUNTIFS(Table1[Level of influence],"subnational",Table1[The Six Conditions of Systems Change (WORK IN PROGRESS)],DN$1,Table1[Output contribution 2],'Quant analysis'!$DI17)+COUNTIFS(Table1[Level of influence],"subnational",Table1[The Six Conditions of Systems Change (WORK IN PROGRESS)],DN$1,Table1[Output contribution 3],'Quant analysis'!$DI17)+COUNTIFS(Table1[Level of influence],"subnational",Table1[The Six Conditions of Systems Change (WORK IN PROGRESS)],DN$1,Table1[Output contribution 4],'Quant analysis'!$DI17)+COUNTIFS(Table1[Level of influence],"subnational",Table1[The Six Conditions of Systems Change (WORK IN PROGRESS)],DN$1,Table1[Output contribution 5],'Quant analysis'!$DI17)+COUNTIFS(Table1[Level of influence],"national",Table1[The Six Conditions of Systems Change (WORK IN PROGRESS)],DN$1,Table1[Output contribution 1],'Quant analysis'!$DI17)+COUNTIFS(Table1[Level of influence],"national",Table1[The Six Conditions of Systems Change (WORK IN PROGRESS)],DN$1,Table1[Output contribution 2],'Quant analysis'!$DI17)+COUNTIFS(Table1[Level of influence],"national",Table1[The Six Conditions of Systems Change (WORK IN PROGRESS)],DN$1,Table1[Output contribution 3],'Quant analysis'!$DI17)+COUNTIFS(Table1[Level of influence],"national",Table1[The Six Conditions of Systems Change (WORK IN PROGRESS)],DN$1,Table1[Output contribution 4],'Quant analysis'!$DI17)+COUNTIFS(Table1[Level of influence],"national",Table1[The Six Conditions of Systems Change (WORK IN PROGRESS)],DN$1,Table1[Output contribution 5],'Quant analysis'!$DI17)</f>
        <v>0</v>
      </c>
      <c r="DO17" s="19">
        <f>COUNTIFS(Table1[Level of influence],"subnational",Table1[The Six Conditions of Systems Change (WORK IN PROGRESS)],DO$1,Table1[Output contribution 1],'Quant analysis'!$DI17)+COUNTIFS(Table1[Level of influence],"subnational",Table1[The Six Conditions of Systems Change (WORK IN PROGRESS)],DO$1,Table1[Output contribution 2],'Quant analysis'!$DI17)+COUNTIFS(Table1[Level of influence],"subnational",Table1[The Six Conditions of Systems Change (WORK IN PROGRESS)],DO$1,Table1[Output contribution 3],'Quant analysis'!$DI17)+COUNTIFS(Table1[Level of influence],"subnational",Table1[The Six Conditions of Systems Change (WORK IN PROGRESS)],DO$1,Table1[Output contribution 4],'Quant analysis'!$DI17)+COUNTIFS(Table1[Level of influence],"subnational",Table1[The Six Conditions of Systems Change (WORK IN PROGRESS)],DO$1,Table1[Output contribution 5],'Quant analysis'!$DI17)+COUNTIFS(Table1[Level of influence],"national",Table1[The Six Conditions of Systems Change (WORK IN PROGRESS)],DO$1,Table1[Output contribution 1],'Quant analysis'!$DI17)+COUNTIFS(Table1[Level of influence],"national",Table1[The Six Conditions of Systems Change (WORK IN PROGRESS)],DO$1,Table1[Output contribution 2],'Quant analysis'!$DI17)+COUNTIFS(Table1[Level of influence],"national",Table1[The Six Conditions of Systems Change (WORK IN PROGRESS)],DO$1,Table1[Output contribution 3],'Quant analysis'!$DI17)+COUNTIFS(Table1[Level of influence],"national",Table1[The Six Conditions of Systems Change (WORK IN PROGRESS)],DO$1,Table1[Output contribution 4],'Quant analysis'!$DI17)+COUNTIFS(Table1[Level of influence],"national",Table1[The Six Conditions of Systems Change (WORK IN PROGRESS)],DO$1,Table1[Output contribution 5],'Quant analysis'!$DI17)</f>
        <v>0</v>
      </c>
      <c r="DP17" s="19">
        <f>COUNTIFS(Table1[Level of influence],"subnational",Table1[The Six Conditions of Systems Change (WORK IN PROGRESS)],DP$1,Table1[Output contribution 1],'Quant analysis'!$DI17)+COUNTIFS(Table1[Level of influence],"subnational",Table1[The Six Conditions of Systems Change (WORK IN PROGRESS)],DP$1,Table1[Output contribution 2],'Quant analysis'!$DI17)+COUNTIFS(Table1[Level of influence],"subnational",Table1[The Six Conditions of Systems Change (WORK IN PROGRESS)],DP$1,Table1[Output contribution 3],'Quant analysis'!$DI17)+COUNTIFS(Table1[Level of influence],"subnational",Table1[The Six Conditions of Systems Change (WORK IN PROGRESS)],DP$1,Table1[Output contribution 4],'Quant analysis'!$DI17)+COUNTIFS(Table1[Level of influence],"subnational",Table1[The Six Conditions of Systems Change (WORK IN PROGRESS)],DP$1,Table1[Output contribution 5],'Quant analysis'!$DI17)+COUNTIFS(Table1[Level of influence],"national",Table1[The Six Conditions of Systems Change (WORK IN PROGRESS)],DP$1,Table1[Output contribution 1],'Quant analysis'!$DI17)+COUNTIFS(Table1[Level of influence],"national",Table1[The Six Conditions of Systems Change (WORK IN PROGRESS)],DP$1,Table1[Output contribution 2],'Quant analysis'!$DI17)+COUNTIFS(Table1[Level of influence],"national",Table1[The Six Conditions of Systems Change (WORK IN PROGRESS)],DP$1,Table1[Output contribution 3],'Quant analysis'!$DI17)+COUNTIFS(Table1[Level of influence],"national",Table1[The Six Conditions of Systems Change (WORK IN PROGRESS)],DP$1,Table1[Output contribution 4],'Quant analysis'!$DI17)+COUNTIFS(Table1[Level of influence],"national",Table1[The Six Conditions of Systems Change (WORK IN PROGRESS)],DP$1,Table1[Output contribution 5],'Quant analysis'!$DI17)</f>
        <v>0</v>
      </c>
      <c r="DQ17" s="130"/>
      <c r="DR17" s="130"/>
      <c r="DS17" s="157" t="s">
        <v>267</v>
      </c>
      <c r="DT17" s="129">
        <f>COUNTIFS(Table1[The Six Conditions of Systems Change (WORK IN PROGRESS)],'Quant analysis'!DT$1,Table1[Level of influence],"subnational",Table1['# of quarters between first contribution statement ],'Quant analysis'!$DS17)+COUNTIFS(Table1[The Six Conditions of Systems Change (WORK IN PROGRESS)],'Quant analysis'!DT$1,Table1[Level of influence],"national",Table1['# of quarters between first contribution statement ],'Quant analysis'!$DS17)</f>
        <v>0</v>
      </c>
      <c r="DU17" s="129">
        <f>COUNTIFS(Table1[The Six Conditions of Systems Change (WORK IN PROGRESS)],'Quant analysis'!DU$1,Table1[Level of influence],"subnational",Table1['# of quarters between first contribution statement ],'Quant analysis'!$DS17)+COUNTIFS(Table1[The Six Conditions of Systems Change (WORK IN PROGRESS)],'Quant analysis'!DU$1,Table1[Level of influence],"national",Table1['# of quarters between first contribution statement ],'Quant analysis'!$DS17)</f>
        <v>0</v>
      </c>
      <c r="DV17" s="129">
        <f>COUNTIFS(Table1[The Six Conditions of Systems Change (WORK IN PROGRESS)],'Quant analysis'!DV$1,Table1[Level of influence],"subnational",Table1['# of quarters between first contribution statement ],'Quant analysis'!$DS17)+COUNTIFS(Table1[The Six Conditions of Systems Change (WORK IN PROGRESS)],'Quant analysis'!DV$1,Table1[Level of influence],"national",Table1['# of quarters between first contribution statement ],'Quant analysis'!$DS17)</f>
        <v>0</v>
      </c>
      <c r="DW17" s="129">
        <f>COUNTIFS(Table1[The Six Conditions of Systems Change (WORK IN PROGRESS)],'Quant analysis'!DW$1,Table1[Level of influence],"subnational",Table1['# of quarters between first contribution statement ],'Quant analysis'!$DS17)+COUNTIFS(Table1[The Six Conditions of Systems Change (WORK IN PROGRESS)],'Quant analysis'!DW$1,Table1[Level of influence],"national",Table1['# of quarters between first contribution statement ],'Quant analysis'!$DS17)</f>
        <v>0</v>
      </c>
      <c r="DX17" s="129">
        <f>COUNTIFS(Table1[The Six Conditions of Systems Change (WORK IN PROGRESS)],'Quant analysis'!DX$1,Table1[Level of influence],"subnational",Table1['# of quarters between first contribution statement ],'Quant analysis'!$DS17)+COUNTIFS(Table1[The Six Conditions of Systems Change (WORK IN PROGRESS)],'Quant analysis'!DX$1,Table1[Level of influence],"national",Table1['# of quarters between first contribution statement ],'Quant analysis'!$DS17)</f>
        <v>0</v>
      </c>
      <c r="DY17" s="129">
        <f>COUNTIFS(Table1[The Six Conditions of Systems Change (WORK IN PROGRESS)],'Quant analysis'!DY$1,Table1[Level of influence],"subnational",Table1['# of quarters between first contribution statement ],'Quant analysis'!$DS17)+COUNTIFS(Table1[The Six Conditions of Systems Change (WORK IN PROGRESS)],'Quant analysis'!DY$1,Table1[Level of influence],"national",Table1['# of quarters between first contribution statement ],'Quant analysis'!$DS17)</f>
        <v>0</v>
      </c>
      <c r="DZ17" s="129"/>
      <c r="EA17" s="130"/>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0"/>
      <c r="EX17" s="130"/>
      <c r="EY17" s="130"/>
      <c r="EZ17" s="130"/>
      <c r="FA17" s="130"/>
      <c r="FB17" s="130"/>
      <c r="FC17" s="130"/>
      <c r="FD17" s="130"/>
      <c r="FE17" s="130"/>
    </row>
    <row r="18" spans="1:161" x14ac:dyDescent="0.2">
      <c r="A18" s="104" t="s">
        <v>149</v>
      </c>
      <c r="B18" s="129">
        <f>COUNTIF(Outcomes!Q:Q,'Quant analysis'!A18)</f>
        <v>0</v>
      </c>
      <c r="C18" s="130"/>
      <c r="D18" s="130"/>
      <c r="E18" s="130"/>
      <c r="F18" s="130"/>
      <c r="G18" s="130"/>
      <c r="H18" s="130"/>
      <c r="I18" s="130"/>
      <c r="J18" s="130"/>
      <c r="K18" s="130"/>
      <c r="L18" s="130"/>
      <c r="M18" s="130"/>
      <c r="N18" s="130"/>
      <c r="O18" s="130"/>
      <c r="P18" s="130"/>
      <c r="Q18" s="130"/>
      <c r="R18" s="130" t="s">
        <v>6</v>
      </c>
      <c r="S18" s="130" t="s">
        <v>236</v>
      </c>
      <c r="T18" s="129" t="s">
        <v>176</v>
      </c>
      <c r="U18" s="129">
        <f>COUNTIF(Outcomes!$L:$L,'Quant analysis'!$T18)</f>
        <v>0</v>
      </c>
      <c r="V18" s="19">
        <f>COUNTIFS(Outcomes!$L:$L,'Quant analysis'!$T18,Outcomes!$Q:$Q,V$1)</f>
        <v>0</v>
      </c>
      <c r="W18" s="19">
        <f>COUNTIFS(Outcomes!$L:$L,'Quant analysis'!$T18,Outcomes!$Q:$Q,W$1)</f>
        <v>0</v>
      </c>
      <c r="X18" s="19">
        <f>COUNTIFS(Outcomes!$L:$L,'Quant analysis'!$T18,Outcomes!$Q:$Q,X$1)</f>
        <v>0</v>
      </c>
      <c r="Y18" s="19">
        <f>COUNTIFS(Outcomes!$L:$L,'Quant analysis'!$T18,Outcomes!$Q:$Q,Y$1)</f>
        <v>0</v>
      </c>
      <c r="Z18" s="19">
        <f>COUNTIFS(Outcomes!$L:$L,'Quant analysis'!$T18,Outcomes!$Q:$Q,Z$1)</f>
        <v>0</v>
      </c>
      <c r="AA18" s="105">
        <f>COUNTIFS(Outcomes!$L:$L,'Quant analysis'!$T18,Outcomes!$Q:$Q,AA$1)</f>
        <v>0</v>
      </c>
      <c r="AB18" s="105">
        <f>COUNTIFS(Outcomes!$L:$L,'Quant analysis'!$T18,Outcomes!$Q:$Q,AB$1)</f>
        <v>0</v>
      </c>
      <c r="AC18" s="105">
        <f>COUNTIFS(Outcomes!$L:$L,'Quant analysis'!$T18,Outcomes!$Q:$Q,AC$1)</f>
        <v>0</v>
      </c>
      <c r="AD18" s="105">
        <f>COUNTIFS(Outcomes!$L:$L,'Quant analysis'!$T18,Outcomes!$Q:$Q,AD$1)</f>
        <v>0</v>
      </c>
      <c r="AE18" s="130">
        <f t="shared" si="0"/>
        <v>0</v>
      </c>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29" t="s">
        <v>263</v>
      </c>
      <c r="BU18" s="129" t="s">
        <v>168</v>
      </c>
      <c r="BV18" s="68">
        <f>COUNTIF(Outcomes!U:Y,'Quant analysis'!BU18)</f>
        <v>0</v>
      </c>
      <c r="BW18" s="19">
        <f>COUNTIFS(Outcomes!$U:$U,'Quant analysis'!$BU18,Outcomes!$Q:$Q,BW$1)+COUNTIFS(Outcomes!$V:$V,'Quant analysis'!$BU18,Outcomes!$Q:$Q,BW$1)+COUNTIFS(Outcomes!$W:$W,'Quant analysis'!$BU18,Outcomes!$Q:$Q,BW$1)+COUNTIFS(Outcomes!$X:$X,'Quant analysis'!$BU18,Outcomes!$Q:$Q,BW$1)+COUNTIFS(Outcomes!$Y:$Y,'Quant analysis'!$BU18,Outcomes!$Q:$Q,BW$1)</f>
        <v>0</v>
      </c>
      <c r="BX18" s="19">
        <f>COUNTIFS(Outcomes!$U:$U,'Quant analysis'!$BU18,Outcomes!$Q:$Q,BX$1)+COUNTIFS(Outcomes!$V:$V,'Quant analysis'!$BU18,Outcomes!$Q:$Q,BX$1)+COUNTIFS(Outcomes!$W:$W,'Quant analysis'!$BU18,Outcomes!$Q:$Q,BX$1)+COUNTIFS(Outcomes!$X:$X,'Quant analysis'!$BU18,Outcomes!$Q:$Q,BX$1)+COUNTIFS(Outcomes!$Y:$Y,'Quant analysis'!$BU18,Outcomes!$Q:$Q,BX$1)</f>
        <v>0</v>
      </c>
      <c r="BY18" s="19">
        <f>COUNTIFS(Outcomes!$U:$U,'Quant analysis'!$BU18,Outcomes!$Q:$Q,BY$1)+COUNTIFS(Outcomes!$V:$V,'Quant analysis'!$BU18,Outcomes!$Q:$Q,BY$1)+COUNTIFS(Outcomes!$W:$W,'Quant analysis'!$BU18,Outcomes!$Q:$Q,BY$1)+COUNTIFS(Outcomes!$X:$X,'Quant analysis'!$BU18,Outcomes!$Q:$Q,BY$1)+COUNTIFS(Outcomes!$Y:$Y,'Quant analysis'!$BU18,Outcomes!$Q:$Q,BY$1)</f>
        <v>0</v>
      </c>
      <c r="BZ18" s="19">
        <f>COUNTIFS(Outcomes!$U:$U,'Quant analysis'!$BU18,Outcomes!$Q:$Q,BZ$1)+COUNTIFS(Outcomes!$V:$V,'Quant analysis'!$BU18,Outcomes!$Q:$Q,BZ$1)+COUNTIFS(Outcomes!$W:$W,'Quant analysis'!$BU18,Outcomes!$Q:$Q,BZ$1)+COUNTIFS(Outcomes!$X:$X,'Quant analysis'!$BU18,Outcomes!$Q:$Q,BZ$1)+COUNTIFS(Outcomes!$Y:$Y,'Quant analysis'!$BU18,Outcomes!$Q:$Q,BZ$1)</f>
        <v>0</v>
      </c>
      <c r="CA18" s="19">
        <f>COUNTIFS(Outcomes!$U:$U,'Quant analysis'!$BU18,Outcomes!$Q:$Q,CA$1)+COUNTIFS(Outcomes!$V:$V,'Quant analysis'!$BU18,Outcomes!$Q:$Q,CA$1)+COUNTIFS(Outcomes!$W:$W,'Quant analysis'!$BU18,Outcomes!$Q:$Q,CA$1)+COUNTIFS(Outcomes!$X:$X,'Quant analysis'!$BU18,Outcomes!$Q:$Q,CA$1)+COUNTIFS(Outcomes!$Y:$Y,'Quant analysis'!$BU18,Outcomes!$Q:$Q,CA$1)</f>
        <v>0</v>
      </c>
      <c r="CB18" s="105">
        <f>COUNTIFS(Outcomes!$U:$U,'Quant analysis'!$BU18,Outcomes!$Q:$Q,CB$1)+COUNTIFS(Outcomes!$V:$V,'Quant analysis'!$BU18,Outcomes!$Q:$Q,CB$1)+COUNTIFS(Outcomes!$W:$W,'Quant analysis'!$BU18,Outcomes!$Q:$Q,CB$1)+COUNTIFS(Outcomes!$X:$X,'Quant analysis'!$BU18,Outcomes!$Q:$Q,CB$1)+COUNTIFS(Outcomes!$Y:$Y,'Quant analysis'!$BU18,Outcomes!$Q:$Q,CB$1)</f>
        <v>0</v>
      </c>
      <c r="CC18" s="105">
        <f>COUNTIFS(Outcomes!$U:$U,'Quant analysis'!$BU18,Outcomes!$Q:$Q,CC$1)+COUNTIFS(Outcomes!$V:$V,'Quant analysis'!$BU18,Outcomes!$Q:$Q,CC$1)+COUNTIFS(Outcomes!$W:$W,'Quant analysis'!$BU18,Outcomes!$Q:$Q,CC$1)+COUNTIFS(Outcomes!$X:$X,'Quant analysis'!$BU18,Outcomes!$Q:$Q,CC$1)+COUNTIFS(Outcomes!$Y:$Y,'Quant analysis'!$BU18,Outcomes!$Q:$Q,CC$1)</f>
        <v>0</v>
      </c>
      <c r="CD18" s="105">
        <f>COUNTIFS(Outcomes!$U:$U,'Quant analysis'!$BU18,Outcomes!$Q:$Q,CD$1)+COUNTIFS(Outcomes!$V:$V,'Quant analysis'!$BU18,Outcomes!$Q:$Q,CD$1)+COUNTIFS(Outcomes!$W:$W,'Quant analysis'!$BU18,Outcomes!$Q:$Q,CD$1)+COUNTIFS(Outcomes!$X:$X,'Quant analysis'!$BU18,Outcomes!$Q:$Q,CD$1)+COUNTIFS(Outcomes!$Y:$Y,'Quant analysis'!$BU18,Outcomes!$Q:$Q,CD$1)</f>
        <v>0</v>
      </c>
      <c r="CE18" s="105">
        <f>COUNTIFS(Outcomes!$U:$U,'Quant analysis'!$BU18,Outcomes!$Q:$Q,CE$1)+COUNTIFS(Outcomes!$V:$V,'Quant analysis'!$BU18,Outcomes!$Q:$Q,CE$1)+COUNTIFS(Outcomes!$W:$W,'Quant analysis'!$BU18,Outcomes!$Q:$Q,CE$1)+COUNTIFS(Outcomes!$X:$X,'Quant analysis'!$BU18,Outcomes!$Q:$Q,CE$1)+COUNTIFS(Outcomes!$Y:$Y,'Quant analysis'!$BU18,Outcomes!$Q:$Q,CE$1)</f>
        <v>0</v>
      </c>
      <c r="CF18" s="129">
        <f t="shared" si="4"/>
        <v>0</v>
      </c>
      <c r="CG18" s="130"/>
      <c r="CH18" s="130"/>
      <c r="CI18" s="130"/>
      <c r="CJ18" s="130"/>
      <c r="CK18" s="130"/>
      <c r="CL18" s="130"/>
      <c r="CM18" s="130"/>
      <c r="CN18" s="130"/>
      <c r="CO18" s="130"/>
      <c r="CP18" s="130"/>
      <c r="CQ18" s="130"/>
      <c r="CR18" s="130"/>
      <c r="CS18" s="130"/>
      <c r="CT18" s="130"/>
      <c r="CU18" s="130"/>
      <c r="CV18" s="131"/>
      <c r="CW18" s="16" t="s">
        <v>268</v>
      </c>
      <c r="CX18" s="130"/>
      <c r="CY18" s="130"/>
      <c r="CZ18" s="130"/>
      <c r="DA18" s="130"/>
      <c r="DB18" s="130"/>
      <c r="DC18" s="130"/>
      <c r="DD18" s="130"/>
      <c r="DE18" s="130"/>
      <c r="DF18" s="130"/>
      <c r="DG18" s="130"/>
      <c r="DH18" s="129" t="s">
        <v>263</v>
      </c>
      <c r="DI18" s="129" t="s">
        <v>168</v>
      </c>
      <c r="DJ18" s="68">
        <f t="shared" si="7"/>
        <v>0</v>
      </c>
      <c r="DK18" s="19">
        <f>COUNTIFS(Table1[Level of influence],"subnational",Table1[The Six Conditions of Systems Change (WORK IN PROGRESS)],"Policies",Table1[Output contribution 1],'Quant analysis'!DI18)+COUNTIFS(Table1[Level of influence],"subnational",Table1[The Six Conditions of Systems Change (WORK IN PROGRESS)],"Policies",Table1[Output contribution 2],'Quant analysis'!DI18)+COUNTIFS(Table1[Level of influence],"subnational",Table1[The Six Conditions of Systems Change (WORK IN PROGRESS)],"Policies",Table1[Output contribution 3],'Quant analysis'!DI18)+COUNTIFS(Table1[Level of influence],"subnational",Table1[The Six Conditions of Systems Change (WORK IN PROGRESS)],"Policies",Table1[Output contribution 4],'Quant analysis'!DI18)+COUNTIFS(Table1[Level of influence],"subnational",Table1[The Six Conditions of Systems Change (WORK IN PROGRESS)],"Policies",Table1[Output contribution 5],'Quant analysis'!DI18)+COUNTIFS(Table1[Level of influence],"national",Table1[The Six Conditions of Systems Change (WORK IN PROGRESS)],"Policies",Table1[Output contribution 1],'Quant analysis'!DI18)+COUNTIFS(Table1[Level of influence],"national",Table1[The Six Conditions of Systems Change (WORK IN PROGRESS)],"Policies",Table1[Output contribution 2],'Quant analysis'!DI18)+COUNTIFS(Table1[Level of influence],"national",Table1[The Six Conditions of Systems Change (WORK IN PROGRESS)],"Policies",Table1[Output contribution 3],'Quant analysis'!DI18)+COUNTIFS(Table1[Level of influence],"national",Table1[The Six Conditions of Systems Change (WORK IN PROGRESS)],"Policies",Table1[Output contribution 4],'Quant analysis'!DI18)+COUNTIFS(Table1[Level of influence],"national",Table1[The Six Conditions of Systems Change (WORK IN PROGRESS)],"Policies",Table1[Output contribution 5],'Quant analysis'!DI18)</f>
        <v>0</v>
      </c>
      <c r="DL18" s="19">
        <f>COUNTIFS(Table1[Level of influence],"subnational",Table1[The Six Conditions of Systems Change (WORK IN PROGRESS)],"Practices",Table1[Output contribution 1],'Quant analysis'!$DI18)+COUNTIFS(Table1[Level of influence],"subnational",Table1[The Six Conditions of Systems Change (WORK IN PROGRESS)],"Practices",Table1[Output contribution 2],'Quant analysis'!$DI18)+COUNTIFS(Table1[Level of influence],"subnational",Table1[The Six Conditions of Systems Change (WORK IN PROGRESS)],"Practices",Table1[Output contribution 3],'Quant analysis'!$DI18)+COUNTIFS(Table1[Level of influence],"subnational",Table1[The Six Conditions of Systems Change (WORK IN PROGRESS)],"Practices",Table1[Output contribution 4],'Quant analysis'!$DI18)+COUNTIFS(Table1[Level of influence],"subnational",Table1[The Six Conditions of Systems Change (WORK IN PROGRESS)],"Practices",Table1[Output contribution 5],'Quant analysis'!$DI18)+COUNTIFS(Table1[Level of influence],"national",Table1[The Six Conditions of Systems Change (WORK IN PROGRESS)],"Practices",Table1[Output contribution 1],'Quant analysis'!$DI18)+COUNTIFS(Table1[Level of influence],"national",Table1[The Six Conditions of Systems Change (WORK IN PROGRESS)],"Practices",Table1[Output contribution 2],'Quant analysis'!$DI18)+COUNTIFS(Table1[Level of influence],"national",Table1[The Six Conditions of Systems Change (WORK IN PROGRESS)],"Practices",Table1[Output contribution 3],'Quant analysis'!$DI18)+COUNTIFS(Table1[Level of influence],"national",Table1[The Six Conditions of Systems Change (WORK IN PROGRESS)],"Practices",Table1[Output contribution 4],'Quant analysis'!$DI18)+COUNTIFS(Table1[Level of influence],"national",Table1[The Six Conditions of Systems Change (WORK IN PROGRESS)],"Practices",Table1[Output contribution 5],'Quant analysis'!$DI18)</f>
        <v>0</v>
      </c>
      <c r="DM18" s="19">
        <f>COUNTIFS(Table1[Level of influence],"subnational",Table1[The Six Conditions of Systems Change (WORK IN PROGRESS)],DM$1,Table1[Output contribution 1],'Quant analysis'!$DI18)+COUNTIFS(Table1[Level of influence],"subnational",Table1[The Six Conditions of Systems Change (WORK IN PROGRESS)],DM$1,Table1[Output contribution 2],'Quant analysis'!$DI18)+COUNTIFS(Table1[Level of influence],"subnational",Table1[The Six Conditions of Systems Change (WORK IN PROGRESS)],DM$1,Table1[Output contribution 3],'Quant analysis'!$DI18)+COUNTIFS(Table1[Level of influence],"subnational",Table1[The Six Conditions of Systems Change (WORK IN PROGRESS)],DM$1,Table1[Output contribution 4],'Quant analysis'!$DI18)+COUNTIFS(Table1[Level of influence],"subnational",Table1[The Six Conditions of Systems Change (WORK IN PROGRESS)],DM$1,Table1[Output contribution 5],'Quant analysis'!$DI18)+COUNTIFS(Table1[Level of influence],"national",Table1[The Six Conditions of Systems Change (WORK IN PROGRESS)],DM$1,Table1[Output contribution 1],'Quant analysis'!$DI18)+COUNTIFS(Table1[Level of influence],"national",Table1[The Six Conditions of Systems Change (WORK IN PROGRESS)],DM$1,Table1[Output contribution 2],'Quant analysis'!$DI18)+COUNTIFS(Table1[Level of influence],"national",Table1[The Six Conditions of Systems Change (WORK IN PROGRESS)],DM$1,Table1[Output contribution 3],'Quant analysis'!$DI18)+COUNTIFS(Table1[Level of influence],"national",Table1[The Six Conditions of Systems Change (WORK IN PROGRESS)],DM$1,Table1[Output contribution 4],'Quant analysis'!$DI18)+COUNTIFS(Table1[Level of influence],"national",Table1[The Six Conditions of Systems Change (WORK IN PROGRESS)],DM$1,Table1[Output contribution 5],'Quant analysis'!$DI18)</f>
        <v>0</v>
      </c>
      <c r="DN18" s="19">
        <f>COUNTIFS(Table1[Level of influence],"subnational",Table1[The Six Conditions of Systems Change (WORK IN PROGRESS)],DN$1,Table1[Output contribution 1],'Quant analysis'!$DI18)+COUNTIFS(Table1[Level of influence],"subnational",Table1[The Six Conditions of Systems Change (WORK IN PROGRESS)],DN$1,Table1[Output contribution 2],'Quant analysis'!$DI18)+COUNTIFS(Table1[Level of influence],"subnational",Table1[The Six Conditions of Systems Change (WORK IN PROGRESS)],DN$1,Table1[Output contribution 3],'Quant analysis'!$DI18)+COUNTIFS(Table1[Level of influence],"subnational",Table1[The Six Conditions of Systems Change (WORK IN PROGRESS)],DN$1,Table1[Output contribution 4],'Quant analysis'!$DI18)+COUNTIFS(Table1[Level of influence],"subnational",Table1[The Six Conditions of Systems Change (WORK IN PROGRESS)],DN$1,Table1[Output contribution 5],'Quant analysis'!$DI18)+COUNTIFS(Table1[Level of influence],"national",Table1[The Six Conditions of Systems Change (WORK IN PROGRESS)],DN$1,Table1[Output contribution 1],'Quant analysis'!$DI18)+COUNTIFS(Table1[Level of influence],"national",Table1[The Six Conditions of Systems Change (WORK IN PROGRESS)],DN$1,Table1[Output contribution 2],'Quant analysis'!$DI18)+COUNTIFS(Table1[Level of influence],"national",Table1[The Six Conditions of Systems Change (WORK IN PROGRESS)],DN$1,Table1[Output contribution 3],'Quant analysis'!$DI18)+COUNTIFS(Table1[Level of influence],"national",Table1[The Six Conditions of Systems Change (WORK IN PROGRESS)],DN$1,Table1[Output contribution 4],'Quant analysis'!$DI18)+COUNTIFS(Table1[Level of influence],"national",Table1[The Six Conditions of Systems Change (WORK IN PROGRESS)],DN$1,Table1[Output contribution 5],'Quant analysis'!$DI18)</f>
        <v>0</v>
      </c>
      <c r="DO18" s="19">
        <f>COUNTIFS(Table1[Level of influence],"subnational",Table1[The Six Conditions of Systems Change (WORK IN PROGRESS)],DO$1,Table1[Output contribution 1],'Quant analysis'!$DI18)+COUNTIFS(Table1[Level of influence],"subnational",Table1[The Six Conditions of Systems Change (WORK IN PROGRESS)],DO$1,Table1[Output contribution 2],'Quant analysis'!$DI18)+COUNTIFS(Table1[Level of influence],"subnational",Table1[The Six Conditions of Systems Change (WORK IN PROGRESS)],DO$1,Table1[Output contribution 3],'Quant analysis'!$DI18)+COUNTIFS(Table1[Level of influence],"subnational",Table1[The Six Conditions of Systems Change (WORK IN PROGRESS)],DO$1,Table1[Output contribution 4],'Quant analysis'!$DI18)+COUNTIFS(Table1[Level of influence],"subnational",Table1[The Six Conditions of Systems Change (WORK IN PROGRESS)],DO$1,Table1[Output contribution 5],'Quant analysis'!$DI18)+COUNTIFS(Table1[Level of influence],"national",Table1[The Six Conditions of Systems Change (WORK IN PROGRESS)],DO$1,Table1[Output contribution 1],'Quant analysis'!$DI18)+COUNTIFS(Table1[Level of influence],"national",Table1[The Six Conditions of Systems Change (WORK IN PROGRESS)],DO$1,Table1[Output contribution 2],'Quant analysis'!$DI18)+COUNTIFS(Table1[Level of influence],"national",Table1[The Six Conditions of Systems Change (WORK IN PROGRESS)],DO$1,Table1[Output contribution 3],'Quant analysis'!$DI18)+COUNTIFS(Table1[Level of influence],"national",Table1[The Six Conditions of Systems Change (WORK IN PROGRESS)],DO$1,Table1[Output contribution 4],'Quant analysis'!$DI18)+COUNTIFS(Table1[Level of influence],"national",Table1[The Six Conditions of Systems Change (WORK IN PROGRESS)],DO$1,Table1[Output contribution 5],'Quant analysis'!$DI18)</f>
        <v>0</v>
      </c>
      <c r="DP18" s="19">
        <f>COUNTIFS(Table1[Level of influence],"subnational",Table1[The Six Conditions of Systems Change (WORK IN PROGRESS)],DP$1,Table1[Output contribution 1],'Quant analysis'!$DI18)+COUNTIFS(Table1[Level of influence],"subnational",Table1[The Six Conditions of Systems Change (WORK IN PROGRESS)],DP$1,Table1[Output contribution 2],'Quant analysis'!$DI18)+COUNTIFS(Table1[Level of influence],"subnational",Table1[The Six Conditions of Systems Change (WORK IN PROGRESS)],DP$1,Table1[Output contribution 3],'Quant analysis'!$DI18)+COUNTIFS(Table1[Level of influence],"subnational",Table1[The Six Conditions of Systems Change (WORK IN PROGRESS)],DP$1,Table1[Output contribution 4],'Quant analysis'!$DI18)+COUNTIFS(Table1[Level of influence],"subnational",Table1[The Six Conditions of Systems Change (WORK IN PROGRESS)],DP$1,Table1[Output contribution 5],'Quant analysis'!$DI18)+COUNTIFS(Table1[Level of influence],"national",Table1[The Six Conditions of Systems Change (WORK IN PROGRESS)],DP$1,Table1[Output contribution 1],'Quant analysis'!$DI18)+COUNTIFS(Table1[Level of influence],"national",Table1[The Six Conditions of Systems Change (WORK IN PROGRESS)],DP$1,Table1[Output contribution 2],'Quant analysis'!$DI18)+COUNTIFS(Table1[Level of influence],"national",Table1[The Six Conditions of Systems Change (WORK IN PROGRESS)],DP$1,Table1[Output contribution 3],'Quant analysis'!$DI18)+COUNTIFS(Table1[Level of influence],"national",Table1[The Six Conditions of Systems Change (WORK IN PROGRESS)],DP$1,Table1[Output contribution 4],'Quant analysis'!$DI18)+COUNTIFS(Table1[Level of influence],"national",Table1[The Six Conditions of Systems Change (WORK IN PROGRESS)],DP$1,Table1[Output contribution 5],'Quant analysis'!$DI18)</f>
        <v>0</v>
      </c>
      <c r="DQ18" s="130"/>
      <c r="DR18" s="130"/>
      <c r="DS18" s="157" t="s">
        <v>269</v>
      </c>
      <c r="DT18" s="129">
        <f>COUNTIFS(Table1[The Six Conditions of Systems Change (WORK IN PROGRESS)],'Quant analysis'!DT$1,Table1[Level of influence],"subnational",Table1['# of quarters between first contribution statement ],'Quant analysis'!$DS18)+COUNTIFS(Table1[The Six Conditions of Systems Change (WORK IN PROGRESS)],'Quant analysis'!DT$1,Table1[Level of influence],"national",Table1['# of quarters between first contribution statement ],'Quant analysis'!$DS18)</f>
        <v>0</v>
      </c>
      <c r="DU18" s="129">
        <f>COUNTIFS(Table1[The Six Conditions of Systems Change (WORK IN PROGRESS)],'Quant analysis'!DU$1,Table1[Level of influence],"subnational",Table1['# of quarters between first contribution statement ],'Quant analysis'!$DS18)+COUNTIFS(Table1[The Six Conditions of Systems Change (WORK IN PROGRESS)],'Quant analysis'!DU$1,Table1[Level of influence],"national",Table1['# of quarters between first contribution statement ],'Quant analysis'!$DS18)</f>
        <v>0</v>
      </c>
      <c r="DV18" s="129">
        <f>COUNTIFS(Table1[The Six Conditions of Systems Change (WORK IN PROGRESS)],'Quant analysis'!DV$1,Table1[Level of influence],"subnational",Table1['# of quarters between first contribution statement ],'Quant analysis'!$DS18)+COUNTIFS(Table1[The Six Conditions of Systems Change (WORK IN PROGRESS)],'Quant analysis'!DV$1,Table1[Level of influence],"national",Table1['# of quarters between first contribution statement ],'Quant analysis'!$DS18)</f>
        <v>0</v>
      </c>
      <c r="DW18" s="129">
        <f>COUNTIFS(Table1[The Six Conditions of Systems Change (WORK IN PROGRESS)],'Quant analysis'!DW$1,Table1[Level of influence],"subnational",Table1['# of quarters between first contribution statement ],'Quant analysis'!$DS18)+COUNTIFS(Table1[The Six Conditions of Systems Change (WORK IN PROGRESS)],'Quant analysis'!DW$1,Table1[Level of influence],"national",Table1['# of quarters between first contribution statement ],'Quant analysis'!$DS18)</f>
        <v>0</v>
      </c>
      <c r="DX18" s="129">
        <f>COUNTIFS(Table1[The Six Conditions of Systems Change (WORK IN PROGRESS)],'Quant analysis'!DX$1,Table1[Level of influence],"subnational",Table1['# of quarters between first contribution statement ],'Quant analysis'!$DS18)+COUNTIFS(Table1[The Six Conditions of Systems Change (WORK IN PROGRESS)],'Quant analysis'!DX$1,Table1[Level of influence],"national",Table1['# of quarters between first contribution statement ],'Quant analysis'!$DS18)</f>
        <v>0</v>
      </c>
      <c r="DY18" s="129">
        <f>COUNTIFS(Table1[The Six Conditions of Systems Change (WORK IN PROGRESS)],'Quant analysis'!DY$1,Table1[Level of influence],"subnational",Table1['# of quarters between first contribution statement ],'Quant analysis'!$DS18)+COUNTIFS(Table1[The Six Conditions of Systems Change (WORK IN PROGRESS)],'Quant analysis'!DY$1,Table1[Level of influence],"national",Table1['# of quarters between first contribution statement ],'Quant analysis'!$DS18)</f>
        <v>0</v>
      </c>
      <c r="DZ18" s="129"/>
      <c r="EA18" s="130"/>
      <c r="EB18" s="57" t="s">
        <v>270</v>
      </c>
      <c r="EC18" s="57" t="s">
        <v>135</v>
      </c>
      <c r="ED18" s="129"/>
      <c r="EE18" s="129"/>
      <c r="EF18" s="129"/>
      <c r="EG18" s="129"/>
      <c r="EH18" s="129"/>
      <c r="EI18" s="129"/>
      <c r="EJ18" s="129"/>
      <c r="EK18" s="130"/>
      <c r="EL18" s="130"/>
      <c r="EM18" s="57" t="s">
        <v>270</v>
      </c>
      <c r="EN18" s="57" t="s">
        <v>109</v>
      </c>
      <c r="EO18" s="129"/>
      <c r="EP18" s="129"/>
      <c r="EQ18" s="129"/>
      <c r="ER18" s="129"/>
      <c r="ES18" s="129"/>
      <c r="ET18" s="129"/>
      <c r="EU18" s="129"/>
      <c r="EV18" s="130"/>
      <c r="EW18" s="57" t="s">
        <v>270</v>
      </c>
      <c r="EX18" s="57" t="s">
        <v>157</v>
      </c>
      <c r="EY18" s="129"/>
      <c r="EZ18" s="129"/>
      <c r="FA18" s="129"/>
      <c r="FB18" s="129"/>
      <c r="FC18" s="129"/>
      <c r="FD18" s="129"/>
      <c r="FE18" s="129"/>
    </row>
    <row r="19" spans="1:161" x14ac:dyDescent="0.2">
      <c r="A19" s="104" t="s">
        <v>93</v>
      </c>
      <c r="B19" s="129">
        <f>COUNTIF(Outcomes!Q:Q,'Quant analysis'!A19)</f>
        <v>0</v>
      </c>
      <c r="C19" s="130"/>
      <c r="D19" s="130"/>
      <c r="E19" s="130"/>
      <c r="F19" s="130"/>
      <c r="G19" s="130"/>
      <c r="H19" s="130"/>
      <c r="I19" s="130"/>
      <c r="J19" s="130"/>
      <c r="K19" s="130"/>
      <c r="L19" s="130"/>
      <c r="M19" s="130"/>
      <c r="N19" s="130"/>
      <c r="O19" s="130"/>
      <c r="P19" s="130"/>
      <c r="Q19" s="130"/>
      <c r="R19" s="130"/>
      <c r="S19" s="130" t="s">
        <v>238</v>
      </c>
      <c r="T19" s="129" t="s">
        <v>179</v>
      </c>
      <c r="U19" s="129">
        <f>COUNTIF(Outcomes!$L:$L,'Quant analysis'!$T19)</f>
        <v>0</v>
      </c>
      <c r="V19" s="19">
        <f>COUNTIFS(Outcomes!$L:$L,'Quant analysis'!$T19,Outcomes!$Q:$Q,V$1)</f>
        <v>0</v>
      </c>
      <c r="W19" s="19">
        <f>COUNTIFS(Outcomes!$L:$L,'Quant analysis'!$T19,Outcomes!$Q:$Q,W$1)</f>
        <v>0</v>
      </c>
      <c r="X19" s="19">
        <f>COUNTIFS(Outcomes!$L:$L,'Quant analysis'!$T19,Outcomes!$Q:$Q,X$1)</f>
        <v>0</v>
      </c>
      <c r="Y19" s="19">
        <f>COUNTIFS(Outcomes!$L:$L,'Quant analysis'!$T19,Outcomes!$Q:$Q,Y$1)</f>
        <v>0</v>
      </c>
      <c r="Z19" s="19">
        <f>COUNTIFS(Outcomes!$L:$L,'Quant analysis'!$T19,Outcomes!$Q:$Q,Z$1)</f>
        <v>0</v>
      </c>
      <c r="AA19" s="105">
        <f>COUNTIFS(Outcomes!$L:$L,'Quant analysis'!$T19,Outcomes!$Q:$Q,AA$1)</f>
        <v>0</v>
      </c>
      <c r="AB19" s="105">
        <f>COUNTIFS(Outcomes!$L:$L,'Quant analysis'!$T19,Outcomes!$Q:$Q,AB$1)</f>
        <v>0</v>
      </c>
      <c r="AC19" s="105">
        <f>COUNTIFS(Outcomes!$L:$L,'Quant analysis'!$T19,Outcomes!$Q:$Q,AC$1)</f>
        <v>0</v>
      </c>
      <c r="AD19" s="105">
        <f>COUNTIFS(Outcomes!$L:$L,'Quant analysis'!$T19,Outcomes!$Q:$Q,AD$1)</f>
        <v>0</v>
      </c>
      <c r="AE19" s="130">
        <f t="shared" si="0"/>
        <v>0</v>
      </c>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29" t="s">
        <v>263</v>
      </c>
      <c r="BU19" s="129" t="s">
        <v>140</v>
      </c>
      <c r="BV19" s="68">
        <f>COUNTIF(Outcomes!U:Y,'Quant analysis'!BU19)</f>
        <v>0</v>
      </c>
      <c r="BW19" s="19">
        <f>COUNTIFS(Outcomes!$U:$U,'Quant analysis'!$BU19,Outcomes!$Q:$Q,BW$1)+COUNTIFS(Outcomes!$V:$V,'Quant analysis'!$BU19,Outcomes!$Q:$Q,BW$1)+COUNTIFS(Outcomes!$W:$W,'Quant analysis'!$BU19,Outcomes!$Q:$Q,BW$1)+COUNTIFS(Outcomes!$X:$X,'Quant analysis'!$BU19,Outcomes!$Q:$Q,BW$1)+COUNTIFS(Outcomes!$Y:$Y,'Quant analysis'!$BU19,Outcomes!$Q:$Q,BW$1)</f>
        <v>0</v>
      </c>
      <c r="BX19" s="19">
        <f>COUNTIFS(Outcomes!$U:$U,'Quant analysis'!$BU19,Outcomes!$Q:$Q,BX$1)+COUNTIFS(Outcomes!$V:$V,'Quant analysis'!$BU19,Outcomes!$Q:$Q,BX$1)+COUNTIFS(Outcomes!$W:$W,'Quant analysis'!$BU19,Outcomes!$Q:$Q,BX$1)+COUNTIFS(Outcomes!$X:$X,'Quant analysis'!$BU19,Outcomes!$Q:$Q,BX$1)+COUNTIFS(Outcomes!$Y:$Y,'Quant analysis'!$BU19,Outcomes!$Q:$Q,BX$1)</f>
        <v>0</v>
      </c>
      <c r="BY19" s="19">
        <f>COUNTIFS(Outcomes!$U:$U,'Quant analysis'!$BU19,Outcomes!$Q:$Q,BY$1)+COUNTIFS(Outcomes!$V:$V,'Quant analysis'!$BU19,Outcomes!$Q:$Q,BY$1)+COUNTIFS(Outcomes!$W:$W,'Quant analysis'!$BU19,Outcomes!$Q:$Q,BY$1)+COUNTIFS(Outcomes!$X:$X,'Quant analysis'!$BU19,Outcomes!$Q:$Q,BY$1)+COUNTIFS(Outcomes!$Y:$Y,'Quant analysis'!$BU19,Outcomes!$Q:$Q,BY$1)</f>
        <v>0</v>
      </c>
      <c r="BZ19" s="19">
        <f>COUNTIFS(Outcomes!$U:$U,'Quant analysis'!$BU19,Outcomes!$Q:$Q,BZ$1)+COUNTIFS(Outcomes!$V:$V,'Quant analysis'!$BU19,Outcomes!$Q:$Q,BZ$1)+COUNTIFS(Outcomes!$W:$W,'Quant analysis'!$BU19,Outcomes!$Q:$Q,BZ$1)+COUNTIFS(Outcomes!$X:$X,'Quant analysis'!$BU19,Outcomes!$Q:$Q,BZ$1)+COUNTIFS(Outcomes!$Y:$Y,'Quant analysis'!$BU19,Outcomes!$Q:$Q,BZ$1)</f>
        <v>0</v>
      </c>
      <c r="CA19" s="19">
        <f>COUNTIFS(Outcomes!$U:$U,'Quant analysis'!$BU19,Outcomes!$Q:$Q,CA$1)+COUNTIFS(Outcomes!$V:$V,'Quant analysis'!$BU19,Outcomes!$Q:$Q,CA$1)+COUNTIFS(Outcomes!$W:$W,'Quant analysis'!$BU19,Outcomes!$Q:$Q,CA$1)+COUNTIFS(Outcomes!$X:$X,'Quant analysis'!$BU19,Outcomes!$Q:$Q,CA$1)+COUNTIFS(Outcomes!$Y:$Y,'Quant analysis'!$BU19,Outcomes!$Q:$Q,CA$1)</f>
        <v>0</v>
      </c>
      <c r="CB19" s="105">
        <f>COUNTIFS(Outcomes!$U:$U,'Quant analysis'!$BU19,Outcomes!$Q:$Q,CB$1)+COUNTIFS(Outcomes!$V:$V,'Quant analysis'!$BU19,Outcomes!$Q:$Q,CB$1)+COUNTIFS(Outcomes!$W:$W,'Quant analysis'!$BU19,Outcomes!$Q:$Q,CB$1)+COUNTIFS(Outcomes!$X:$X,'Quant analysis'!$BU19,Outcomes!$Q:$Q,CB$1)+COUNTIFS(Outcomes!$Y:$Y,'Quant analysis'!$BU19,Outcomes!$Q:$Q,CB$1)</f>
        <v>0</v>
      </c>
      <c r="CC19" s="105">
        <f>COUNTIFS(Outcomes!$U:$U,'Quant analysis'!$BU19,Outcomes!$Q:$Q,CC$1)+COUNTIFS(Outcomes!$V:$V,'Quant analysis'!$BU19,Outcomes!$Q:$Q,CC$1)+COUNTIFS(Outcomes!$W:$W,'Quant analysis'!$BU19,Outcomes!$Q:$Q,CC$1)+COUNTIFS(Outcomes!$X:$X,'Quant analysis'!$BU19,Outcomes!$Q:$Q,CC$1)+COUNTIFS(Outcomes!$Y:$Y,'Quant analysis'!$BU19,Outcomes!$Q:$Q,CC$1)</f>
        <v>0</v>
      </c>
      <c r="CD19" s="105">
        <f>COUNTIFS(Outcomes!$U:$U,'Quant analysis'!$BU19,Outcomes!$Q:$Q,CD$1)+COUNTIFS(Outcomes!$V:$V,'Quant analysis'!$BU19,Outcomes!$Q:$Q,CD$1)+COUNTIFS(Outcomes!$W:$W,'Quant analysis'!$BU19,Outcomes!$Q:$Q,CD$1)+COUNTIFS(Outcomes!$X:$X,'Quant analysis'!$BU19,Outcomes!$Q:$Q,CD$1)+COUNTIFS(Outcomes!$Y:$Y,'Quant analysis'!$BU19,Outcomes!$Q:$Q,CD$1)</f>
        <v>0</v>
      </c>
      <c r="CE19" s="105">
        <f>COUNTIFS(Outcomes!$U:$U,'Quant analysis'!$BU19,Outcomes!$Q:$Q,CE$1)+COUNTIFS(Outcomes!$V:$V,'Quant analysis'!$BU19,Outcomes!$Q:$Q,CE$1)+COUNTIFS(Outcomes!$W:$W,'Quant analysis'!$BU19,Outcomes!$Q:$Q,CE$1)+COUNTIFS(Outcomes!$X:$X,'Quant analysis'!$BU19,Outcomes!$Q:$Q,CE$1)+COUNTIFS(Outcomes!$Y:$Y,'Quant analysis'!$BU19,Outcomes!$Q:$Q,CE$1)</f>
        <v>0</v>
      </c>
      <c r="CF19" s="129">
        <f t="shared" si="4"/>
        <v>0</v>
      </c>
      <c r="CG19" s="130"/>
      <c r="CH19" s="130"/>
      <c r="CI19" s="130"/>
      <c r="CJ19" s="130"/>
      <c r="CK19" s="130"/>
      <c r="CL19" s="130"/>
      <c r="CM19" s="130"/>
      <c r="CN19" s="130"/>
      <c r="CO19" s="130"/>
      <c r="CP19" s="130"/>
      <c r="CQ19" s="130"/>
      <c r="CR19" s="130"/>
      <c r="CS19" s="130"/>
      <c r="CT19" s="130"/>
      <c r="CU19" s="130"/>
      <c r="CV19" s="131"/>
      <c r="CW19" s="57" t="s">
        <v>231</v>
      </c>
      <c r="CX19" s="68" t="s">
        <v>2</v>
      </c>
      <c r="CY19" s="68" t="s">
        <v>3</v>
      </c>
      <c r="CZ19" s="68" t="s">
        <v>4</v>
      </c>
      <c r="DA19" s="68" t="s">
        <v>5</v>
      </c>
      <c r="DB19" s="68" t="s">
        <v>6</v>
      </c>
      <c r="DC19" s="68" t="s">
        <v>7</v>
      </c>
      <c r="DD19" s="68" t="s">
        <v>271</v>
      </c>
      <c r="DE19" s="68" t="s">
        <v>233</v>
      </c>
      <c r="DF19" s="130"/>
      <c r="DG19" s="130"/>
      <c r="DH19" s="129" t="s">
        <v>263</v>
      </c>
      <c r="DI19" s="129" t="s">
        <v>140</v>
      </c>
      <c r="DJ19" s="68">
        <f t="shared" si="7"/>
        <v>0</v>
      </c>
      <c r="DK19" s="19">
        <f>COUNTIFS(Table1[Level of influence],"subnational",Table1[The Six Conditions of Systems Change (WORK IN PROGRESS)],"Policies",Table1[Output contribution 1],'Quant analysis'!DI19)+COUNTIFS(Table1[Level of influence],"subnational",Table1[The Six Conditions of Systems Change (WORK IN PROGRESS)],"Policies",Table1[Output contribution 2],'Quant analysis'!DI19)+COUNTIFS(Table1[Level of influence],"subnational",Table1[The Six Conditions of Systems Change (WORK IN PROGRESS)],"Policies",Table1[Output contribution 3],'Quant analysis'!DI19)+COUNTIFS(Table1[Level of influence],"subnational",Table1[The Six Conditions of Systems Change (WORK IN PROGRESS)],"Policies",Table1[Output contribution 4],'Quant analysis'!DI19)+COUNTIFS(Table1[Level of influence],"subnational",Table1[The Six Conditions of Systems Change (WORK IN PROGRESS)],"Policies",Table1[Output contribution 5],'Quant analysis'!DI19)+COUNTIFS(Table1[Level of influence],"national",Table1[The Six Conditions of Systems Change (WORK IN PROGRESS)],"Policies",Table1[Output contribution 1],'Quant analysis'!DI19)+COUNTIFS(Table1[Level of influence],"national",Table1[The Six Conditions of Systems Change (WORK IN PROGRESS)],"Policies",Table1[Output contribution 2],'Quant analysis'!DI19)+COUNTIFS(Table1[Level of influence],"national",Table1[The Six Conditions of Systems Change (WORK IN PROGRESS)],"Policies",Table1[Output contribution 3],'Quant analysis'!DI19)+COUNTIFS(Table1[Level of influence],"national",Table1[The Six Conditions of Systems Change (WORK IN PROGRESS)],"Policies",Table1[Output contribution 4],'Quant analysis'!DI19)+COUNTIFS(Table1[Level of influence],"national",Table1[The Six Conditions of Systems Change (WORK IN PROGRESS)],"Policies",Table1[Output contribution 5],'Quant analysis'!DI19)</f>
        <v>0</v>
      </c>
      <c r="DL19" s="19">
        <f>COUNTIFS(Table1[Level of influence],"subnational",Table1[The Six Conditions of Systems Change (WORK IN PROGRESS)],"Practices",Table1[Output contribution 1],'Quant analysis'!$DI19)+COUNTIFS(Table1[Level of influence],"subnational",Table1[The Six Conditions of Systems Change (WORK IN PROGRESS)],"Practices",Table1[Output contribution 2],'Quant analysis'!$DI19)+COUNTIFS(Table1[Level of influence],"subnational",Table1[The Six Conditions of Systems Change (WORK IN PROGRESS)],"Practices",Table1[Output contribution 3],'Quant analysis'!$DI19)+COUNTIFS(Table1[Level of influence],"subnational",Table1[The Six Conditions of Systems Change (WORK IN PROGRESS)],"Practices",Table1[Output contribution 4],'Quant analysis'!$DI19)+COUNTIFS(Table1[Level of influence],"subnational",Table1[The Six Conditions of Systems Change (WORK IN PROGRESS)],"Practices",Table1[Output contribution 5],'Quant analysis'!$DI19)+COUNTIFS(Table1[Level of influence],"national",Table1[The Six Conditions of Systems Change (WORK IN PROGRESS)],"Practices",Table1[Output contribution 1],'Quant analysis'!$DI19)+COUNTIFS(Table1[Level of influence],"national",Table1[The Six Conditions of Systems Change (WORK IN PROGRESS)],"Practices",Table1[Output contribution 2],'Quant analysis'!$DI19)+COUNTIFS(Table1[Level of influence],"national",Table1[The Six Conditions of Systems Change (WORK IN PROGRESS)],"Practices",Table1[Output contribution 3],'Quant analysis'!$DI19)+COUNTIFS(Table1[Level of influence],"national",Table1[The Six Conditions of Systems Change (WORK IN PROGRESS)],"Practices",Table1[Output contribution 4],'Quant analysis'!$DI19)+COUNTIFS(Table1[Level of influence],"national",Table1[The Six Conditions of Systems Change (WORK IN PROGRESS)],"Practices",Table1[Output contribution 5],'Quant analysis'!$DI19)</f>
        <v>0</v>
      </c>
      <c r="DM19" s="19">
        <f>COUNTIFS(Table1[Level of influence],"subnational",Table1[The Six Conditions of Systems Change (WORK IN PROGRESS)],DM$1,Table1[Output contribution 1],'Quant analysis'!$DI19)+COUNTIFS(Table1[Level of influence],"subnational",Table1[The Six Conditions of Systems Change (WORK IN PROGRESS)],DM$1,Table1[Output contribution 2],'Quant analysis'!$DI19)+COUNTIFS(Table1[Level of influence],"subnational",Table1[The Six Conditions of Systems Change (WORK IN PROGRESS)],DM$1,Table1[Output contribution 3],'Quant analysis'!$DI19)+COUNTIFS(Table1[Level of influence],"subnational",Table1[The Six Conditions of Systems Change (WORK IN PROGRESS)],DM$1,Table1[Output contribution 4],'Quant analysis'!$DI19)+COUNTIFS(Table1[Level of influence],"subnational",Table1[The Six Conditions of Systems Change (WORK IN PROGRESS)],DM$1,Table1[Output contribution 5],'Quant analysis'!$DI19)+COUNTIFS(Table1[Level of influence],"national",Table1[The Six Conditions of Systems Change (WORK IN PROGRESS)],DM$1,Table1[Output contribution 1],'Quant analysis'!$DI19)+COUNTIFS(Table1[Level of influence],"national",Table1[The Six Conditions of Systems Change (WORK IN PROGRESS)],DM$1,Table1[Output contribution 2],'Quant analysis'!$DI19)+COUNTIFS(Table1[Level of influence],"national",Table1[The Six Conditions of Systems Change (WORK IN PROGRESS)],DM$1,Table1[Output contribution 3],'Quant analysis'!$DI19)+COUNTIFS(Table1[Level of influence],"national",Table1[The Six Conditions of Systems Change (WORK IN PROGRESS)],DM$1,Table1[Output contribution 4],'Quant analysis'!$DI19)+COUNTIFS(Table1[Level of influence],"national",Table1[The Six Conditions of Systems Change (WORK IN PROGRESS)],DM$1,Table1[Output contribution 5],'Quant analysis'!$DI19)</f>
        <v>0</v>
      </c>
      <c r="DN19" s="19">
        <f>COUNTIFS(Table1[Level of influence],"subnational",Table1[The Six Conditions of Systems Change (WORK IN PROGRESS)],DN$1,Table1[Output contribution 1],'Quant analysis'!$DI19)+COUNTIFS(Table1[Level of influence],"subnational",Table1[The Six Conditions of Systems Change (WORK IN PROGRESS)],DN$1,Table1[Output contribution 2],'Quant analysis'!$DI19)+COUNTIFS(Table1[Level of influence],"subnational",Table1[The Six Conditions of Systems Change (WORK IN PROGRESS)],DN$1,Table1[Output contribution 3],'Quant analysis'!$DI19)+COUNTIFS(Table1[Level of influence],"subnational",Table1[The Six Conditions of Systems Change (WORK IN PROGRESS)],DN$1,Table1[Output contribution 4],'Quant analysis'!$DI19)+COUNTIFS(Table1[Level of influence],"subnational",Table1[The Six Conditions of Systems Change (WORK IN PROGRESS)],DN$1,Table1[Output contribution 5],'Quant analysis'!$DI19)+COUNTIFS(Table1[Level of influence],"national",Table1[The Six Conditions of Systems Change (WORK IN PROGRESS)],DN$1,Table1[Output contribution 1],'Quant analysis'!$DI19)+COUNTIFS(Table1[Level of influence],"national",Table1[The Six Conditions of Systems Change (WORK IN PROGRESS)],DN$1,Table1[Output contribution 2],'Quant analysis'!$DI19)+COUNTIFS(Table1[Level of influence],"national",Table1[The Six Conditions of Systems Change (WORK IN PROGRESS)],DN$1,Table1[Output contribution 3],'Quant analysis'!$DI19)+COUNTIFS(Table1[Level of influence],"national",Table1[The Six Conditions of Systems Change (WORK IN PROGRESS)],DN$1,Table1[Output contribution 4],'Quant analysis'!$DI19)+COUNTIFS(Table1[Level of influence],"national",Table1[The Six Conditions of Systems Change (WORK IN PROGRESS)],DN$1,Table1[Output contribution 5],'Quant analysis'!$DI19)</f>
        <v>0</v>
      </c>
      <c r="DO19" s="19">
        <f>COUNTIFS(Table1[Level of influence],"subnational",Table1[The Six Conditions of Systems Change (WORK IN PROGRESS)],DO$1,Table1[Output contribution 1],'Quant analysis'!$DI19)+COUNTIFS(Table1[Level of influence],"subnational",Table1[The Six Conditions of Systems Change (WORK IN PROGRESS)],DO$1,Table1[Output contribution 2],'Quant analysis'!$DI19)+COUNTIFS(Table1[Level of influence],"subnational",Table1[The Six Conditions of Systems Change (WORK IN PROGRESS)],DO$1,Table1[Output contribution 3],'Quant analysis'!$DI19)+COUNTIFS(Table1[Level of influence],"subnational",Table1[The Six Conditions of Systems Change (WORK IN PROGRESS)],DO$1,Table1[Output contribution 4],'Quant analysis'!$DI19)+COUNTIFS(Table1[Level of influence],"subnational",Table1[The Six Conditions of Systems Change (WORK IN PROGRESS)],DO$1,Table1[Output contribution 5],'Quant analysis'!$DI19)+COUNTIFS(Table1[Level of influence],"national",Table1[The Six Conditions of Systems Change (WORK IN PROGRESS)],DO$1,Table1[Output contribution 1],'Quant analysis'!$DI19)+COUNTIFS(Table1[Level of influence],"national",Table1[The Six Conditions of Systems Change (WORK IN PROGRESS)],DO$1,Table1[Output contribution 2],'Quant analysis'!$DI19)+COUNTIFS(Table1[Level of influence],"national",Table1[The Six Conditions of Systems Change (WORK IN PROGRESS)],DO$1,Table1[Output contribution 3],'Quant analysis'!$DI19)+COUNTIFS(Table1[Level of influence],"national",Table1[The Six Conditions of Systems Change (WORK IN PROGRESS)],DO$1,Table1[Output contribution 4],'Quant analysis'!$DI19)+COUNTIFS(Table1[Level of influence],"national",Table1[The Six Conditions of Systems Change (WORK IN PROGRESS)],DO$1,Table1[Output contribution 5],'Quant analysis'!$DI19)</f>
        <v>0</v>
      </c>
      <c r="DP19" s="19">
        <f>COUNTIFS(Table1[Level of influence],"subnational",Table1[The Six Conditions of Systems Change (WORK IN PROGRESS)],DP$1,Table1[Output contribution 1],'Quant analysis'!$DI19)+COUNTIFS(Table1[Level of influence],"subnational",Table1[The Six Conditions of Systems Change (WORK IN PROGRESS)],DP$1,Table1[Output contribution 2],'Quant analysis'!$DI19)+COUNTIFS(Table1[Level of influence],"subnational",Table1[The Six Conditions of Systems Change (WORK IN PROGRESS)],DP$1,Table1[Output contribution 3],'Quant analysis'!$DI19)+COUNTIFS(Table1[Level of influence],"subnational",Table1[The Six Conditions of Systems Change (WORK IN PROGRESS)],DP$1,Table1[Output contribution 4],'Quant analysis'!$DI19)+COUNTIFS(Table1[Level of influence],"subnational",Table1[The Six Conditions of Systems Change (WORK IN PROGRESS)],DP$1,Table1[Output contribution 5],'Quant analysis'!$DI19)+COUNTIFS(Table1[Level of influence],"national",Table1[The Six Conditions of Systems Change (WORK IN PROGRESS)],DP$1,Table1[Output contribution 1],'Quant analysis'!$DI19)+COUNTIFS(Table1[Level of influence],"national",Table1[The Six Conditions of Systems Change (WORK IN PROGRESS)],DP$1,Table1[Output contribution 2],'Quant analysis'!$DI19)+COUNTIFS(Table1[Level of influence],"national",Table1[The Six Conditions of Systems Change (WORK IN PROGRESS)],DP$1,Table1[Output contribution 3],'Quant analysis'!$DI19)+COUNTIFS(Table1[Level of influence],"national",Table1[The Six Conditions of Systems Change (WORK IN PROGRESS)],DP$1,Table1[Output contribution 4],'Quant analysis'!$DI19)+COUNTIFS(Table1[Level of influence],"national",Table1[The Six Conditions of Systems Change (WORK IN PROGRESS)],DP$1,Table1[Output contribution 5],'Quant analysis'!$DI19)</f>
        <v>0</v>
      </c>
      <c r="DQ19" s="130"/>
      <c r="DR19" s="130"/>
      <c r="DS19" s="157" t="s">
        <v>272</v>
      </c>
      <c r="DT19" s="129">
        <f>COUNTIFS(Table1[The Six Conditions of Systems Change (WORK IN PROGRESS)],'Quant analysis'!DT$1,Table1[Level of influence],"subnational",Table1['# of quarters between first contribution statement ],'Quant analysis'!$DS19)+COUNTIFS(Table1[The Six Conditions of Systems Change (WORK IN PROGRESS)],'Quant analysis'!DT$1,Table1[Level of influence],"national",Table1['# of quarters between first contribution statement ],'Quant analysis'!$DS19)</f>
        <v>0</v>
      </c>
      <c r="DU19" s="129">
        <f>COUNTIFS(Table1[The Six Conditions of Systems Change (WORK IN PROGRESS)],'Quant analysis'!DU$1,Table1[Level of influence],"subnational",Table1['# of quarters between first contribution statement ],'Quant analysis'!$DS19)+COUNTIFS(Table1[The Six Conditions of Systems Change (WORK IN PROGRESS)],'Quant analysis'!DU$1,Table1[Level of influence],"national",Table1['# of quarters between first contribution statement ],'Quant analysis'!$DS19)</f>
        <v>0</v>
      </c>
      <c r="DV19" s="129">
        <f>COUNTIFS(Table1[The Six Conditions of Systems Change (WORK IN PROGRESS)],'Quant analysis'!DV$1,Table1[Level of influence],"subnational",Table1['# of quarters between first contribution statement ],'Quant analysis'!$DS19)+COUNTIFS(Table1[The Six Conditions of Systems Change (WORK IN PROGRESS)],'Quant analysis'!DV$1,Table1[Level of influence],"national",Table1['# of quarters between first contribution statement ],'Quant analysis'!$DS19)</f>
        <v>0</v>
      </c>
      <c r="DW19" s="129">
        <f>COUNTIFS(Table1[The Six Conditions of Systems Change (WORK IN PROGRESS)],'Quant analysis'!DW$1,Table1[Level of influence],"subnational",Table1['# of quarters between first contribution statement ],'Quant analysis'!$DS19)+COUNTIFS(Table1[The Six Conditions of Systems Change (WORK IN PROGRESS)],'Quant analysis'!DW$1,Table1[Level of influence],"national",Table1['# of quarters between first contribution statement ],'Quant analysis'!$DS19)</f>
        <v>0</v>
      </c>
      <c r="DX19" s="129">
        <f>COUNTIFS(Table1[The Six Conditions of Systems Change (WORK IN PROGRESS)],'Quant analysis'!DX$1,Table1[Level of influence],"subnational",Table1['# of quarters between first contribution statement ],'Quant analysis'!$DS19)+COUNTIFS(Table1[The Six Conditions of Systems Change (WORK IN PROGRESS)],'Quant analysis'!DX$1,Table1[Level of influence],"national",Table1['# of quarters between first contribution statement ],'Quant analysis'!$DS19)</f>
        <v>0</v>
      </c>
      <c r="DY19" s="129">
        <f>COUNTIFS(Table1[The Six Conditions of Systems Change (WORK IN PROGRESS)],'Quant analysis'!DY$1,Table1[Level of influence],"subnational",Table1['# of quarters between first contribution statement ],'Quant analysis'!$DS19)+COUNTIFS(Table1[The Six Conditions of Systems Change (WORK IN PROGRESS)],'Quant analysis'!DY$1,Table1[Level of influence],"national",Table1['# of quarters between first contribution statement ],'Quant analysis'!$DS19)</f>
        <v>0</v>
      </c>
      <c r="DZ19" s="129"/>
      <c r="EA19" s="130"/>
      <c r="EB19" s="57" t="s">
        <v>231</v>
      </c>
      <c r="EC19" s="68" t="s">
        <v>2</v>
      </c>
      <c r="ED19" s="68" t="s">
        <v>3</v>
      </c>
      <c r="EE19" s="68" t="s">
        <v>4</v>
      </c>
      <c r="EF19" s="68" t="s">
        <v>5</v>
      </c>
      <c r="EG19" s="68" t="s">
        <v>6</v>
      </c>
      <c r="EH19" s="68" t="s">
        <v>7</v>
      </c>
      <c r="EI19" s="68" t="s">
        <v>271</v>
      </c>
      <c r="EJ19" s="68" t="s">
        <v>233</v>
      </c>
      <c r="EK19" s="130"/>
      <c r="EL19" s="130"/>
      <c r="EM19" s="57" t="s">
        <v>231</v>
      </c>
      <c r="EN19" s="68" t="s">
        <v>2</v>
      </c>
      <c r="EO19" s="68" t="s">
        <v>3</v>
      </c>
      <c r="EP19" s="68" t="s">
        <v>4</v>
      </c>
      <c r="EQ19" s="68" t="s">
        <v>5</v>
      </c>
      <c r="ER19" s="68" t="s">
        <v>6</v>
      </c>
      <c r="ES19" s="68" t="s">
        <v>7</v>
      </c>
      <c r="ET19" s="68" t="s">
        <v>271</v>
      </c>
      <c r="EU19" s="68" t="s">
        <v>233</v>
      </c>
      <c r="EV19" s="130"/>
      <c r="EW19" s="57" t="s">
        <v>231</v>
      </c>
      <c r="EX19" s="68" t="s">
        <v>2</v>
      </c>
      <c r="EY19" s="68" t="s">
        <v>3</v>
      </c>
      <c r="EZ19" s="68" t="s">
        <v>4</v>
      </c>
      <c r="FA19" s="68" t="s">
        <v>5</v>
      </c>
      <c r="FB19" s="68" t="s">
        <v>6</v>
      </c>
      <c r="FC19" s="68" t="s">
        <v>7</v>
      </c>
      <c r="FD19" s="68" t="s">
        <v>271</v>
      </c>
      <c r="FE19" s="68" t="s">
        <v>233</v>
      </c>
    </row>
    <row r="20" spans="1:161" x14ac:dyDescent="0.2">
      <c r="A20" s="130"/>
      <c r="B20" s="16">
        <f>SUM(B11:B19)</f>
        <v>0</v>
      </c>
      <c r="C20" s="130"/>
      <c r="D20" s="130"/>
      <c r="E20" s="130"/>
      <c r="F20" s="130"/>
      <c r="G20" s="130"/>
      <c r="H20" s="130"/>
      <c r="I20" s="130"/>
      <c r="J20" s="130"/>
      <c r="K20" s="130"/>
      <c r="L20" s="130"/>
      <c r="M20" s="130"/>
      <c r="N20" s="130"/>
      <c r="O20" s="130"/>
      <c r="P20" s="130"/>
      <c r="Q20" s="130"/>
      <c r="R20" s="130"/>
      <c r="S20" s="130" t="s">
        <v>241</v>
      </c>
      <c r="T20" s="129" t="s">
        <v>183</v>
      </c>
      <c r="U20" s="129">
        <f>COUNTIF(Outcomes!$L:$L,'Quant analysis'!$T20)</f>
        <v>0</v>
      </c>
      <c r="V20" s="19">
        <f>COUNTIFS(Outcomes!$L:$L,'Quant analysis'!$T20,Outcomes!$Q:$Q,V$1)</f>
        <v>0</v>
      </c>
      <c r="W20" s="19">
        <f>COUNTIFS(Outcomes!$L:$L,'Quant analysis'!$T20,Outcomes!$Q:$Q,W$1)</f>
        <v>0</v>
      </c>
      <c r="X20" s="19">
        <f>COUNTIFS(Outcomes!$L:$L,'Quant analysis'!$T20,Outcomes!$Q:$Q,X$1)</f>
        <v>0</v>
      </c>
      <c r="Y20" s="19">
        <f>COUNTIFS(Outcomes!$L:$L,'Quant analysis'!$T20,Outcomes!$Q:$Q,Y$1)</f>
        <v>0</v>
      </c>
      <c r="Z20" s="19">
        <f>COUNTIFS(Outcomes!$L:$L,'Quant analysis'!$T20,Outcomes!$Q:$Q,Z$1)</f>
        <v>0</v>
      </c>
      <c r="AA20" s="105">
        <f>COUNTIFS(Outcomes!$L:$L,'Quant analysis'!$T20,Outcomes!$Q:$Q,AA$1)</f>
        <v>0</v>
      </c>
      <c r="AB20" s="105">
        <f>COUNTIFS(Outcomes!$L:$L,'Quant analysis'!$T20,Outcomes!$Q:$Q,AB$1)</f>
        <v>0</v>
      </c>
      <c r="AC20" s="105">
        <f>COUNTIFS(Outcomes!$L:$L,'Quant analysis'!$T20,Outcomes!$Q:$Q,AC$1)</f>
        <v>0</v>
      </c>
      <c r="AD20" s="105">
        <f>COUNTIFS(Outcomes!$L:$L,'Quant analysis'!$T20,Outcomes!$Q:$Q,AD$1)</f>
        <v>0</v>
      </c>
      <c r="AE20" s="130">
        <f t="shared" si="0"/>
        <v>0</v>
      </c>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29" t="s">
        <v>239</v>
      </c>
      <c r="BU20" s="129" t="s">
        <v>188</v>
      </c>
      <c r="BV20" s="68">
        <f>COUNTIF(Outcomes!U:Y,'Quant analysis'!BU20)</f>
        <v>0</v>
      </c>
      <c r="BW20" s="19">
        <f>COUNTIFS(Outcomes!$U:$U,'Quant analysis'!$BU20,Outcomes!$Q:$Q,BW$1)+COUNTIFS(Outcomes!$V:$V,'Quant analysis'!$BU20,Outcomes!$Q:$Q,BW$1)+COUNTIFS(Outcomes!$W:$W,'Quant analysis'!$BU20,Outcomes!$Q:$Q,BW$1)+COUNTIFS(Outcomes!$X:$X,'Quant analysis'!$BU20,Outcomes!$Q:$Q,BW$1)+COUNTIFS(Outcomes!$Y:$Y,'Quant analysis'!$BU20,Outcomes!$Q:$Q,BW$1)</f>
        <v>0</v>
      </c>
      <c r="BX20" s="19">
        <f>COUNTIFS(Outcomes!$U:$U,'Quant analysis'!$BU20,Outcomes!$Q:$Q,BX$1)+COUNTIFS(Outcomes!$V:$V,'Quant analysis'!$BU20,Outcomes!$Q:$Q,BX$1)+COUNTIFS(Outcomes!$W:$W,'Quant analysis'!$BU20,Outcomes!$Q:$Q,BX$1)+COUNTIFS(Outcomes!$X:$X,'Quant analysis'!$BU20,Outcomes!$Q:$Q,BX$1)+COUNTIFS(Outcomes!$Y:$Y,'Quant analysis'!$BU20,Outcomes!$Q:$Q,BX$1)</f>
        <v>0</v>
      </c>
      <c r="BY20" s="19">
        <f>COUNTIFS(Outcomes!$U:$U,'Quant analysis'!$BU20,Outcomes!$Q:$Q,BY$1)+COUNTIFS(Outcomes!$V:$V,'Quant analysis'!$BU20,Outcomes!$Q:$Q,BY$1)+COUNTIFS(Outcomes!$W:$W,'Quant analysis'!$BU20,Outcomes!$Q:$Q,BY$1)+COUNTIFS(Outcomes!$X:$X,'Quant analysis'!$BU20,Outcomes!$Q:$Q,BY$1)+COUNTIFS(Outcomes!$Y:$Y,'Quant analysis'!$BU20,Outcomes!$Q:$Q,BY$1)</f>
        <v>0</v>
      </c>
      <c r="BZ20" s="19">
        <f>COUNTIFS(Outcomes!$U:$U,'Quant analysis'!$BU20,Outcomes!$Q:$Q,BZ$1)+COUNTIFS(Outcomes!$V:$V,'Quant analysis'!$BU20,Outcomes!$Q:$Q,BZ$1)+COUNTIFS(Outcomes!$W:$W,'Quant analysis'!$BU20,Outcomes!$Q:$Q,BZ$1)+COUNTIFS(Outcomes!$X:$X,'Quant analysis'!$BU20,Outcomes!$Q:$Q,BZ$1)+COUNTIFS(Outcomes!$Y:$Y,'Quant analysis'!$BU20,Outcomes!$Q:$Q,BZ$1)</f>
        <v>0</v>
      </c>
      <c r="CA20" s="19">
        <f>COUNTIFS(Outcomes!$U:$U,'Quant analysis'!$BU20,Outcomes!$Q:$Q,CA$1)+COUNTIFS(Outcomes!$V:$V,'Quant analysis'!$BU20,Outcomes!$Q:$Q,CA$1)+COUNTIFS(Outcomes!$W:$W,'Quant analysis'!$BU20,Outcomes!$Q:$Q,CA$1)+COUNTIFS(Outcomes!$X:$X,'Quant analysis'!$BU20,Outcomes!$Q:$Q,CA$1)+COUNTIFS(Outcomes!$Y:$Y,'Quant analysis'!$BU20,Outcomes!$Q:$Q,CA$1)</f>
        <v>0</v>
      </c>
      <c r="CB20" s="105">
        <f>COUNTIFS(Outcomes!$U:$U,'Quant analysis'!$BU20,Outcomes!$Q:$Q,CB$1)+COUNTIFS(Outcomes!$V:$V,'Quant analysis'!$BU20,Outcomes!$Q:$Q,CB$1)+COUNTIFS(Outcomes!$W:$W,'Quant analysis'!$BU20,Outcomes!$Q:$Q,CB$1)+COUNTIFS(Outcomes!$X:$X,'Quant analysis'!$BU20,Outcomes!$Q:$Q,CB$1)+COUNTIFS(Outcomes!$Y:$Y,'Quant analysis'!$BU20,Outcomes!$Q:$Q,CB$1)</f>
        <v>0</v>
      </c>
      <c r="CC20" s="105">
        <f>COUNTIFS(Outcomes!$U:$U,'Quant analysis'!$BU20,Outcomes!$Q:$Q,CC$1)+COUNTIFS(Outcomes!$V:$V,'Quant analysis'!$BU20,Outcomes!$Q:$Q,CC$1)+COUNTIFS(Outcomes!$W:$W,'Quant analysis'!$BU20,Outcomes!$Q:$Q,CC$1)+COUNTIFS(Outcomes!$X:$X,'Quant analysis'!$BU20,Outcomes!$Q:$Q,CC$1)+COUNTIFS(Outcomes!$Y:$Y,'Quant analysis'!$BU20,Outcomes!$Q:$Q,CC$1)</f>
        <v>0</v>
      </c>
      <c r="CD20" s="105">
        <f>COUNTIFS(Outcomes!$U:$U,'Quant analysis'!$BU20,Outcomes!$Q:$Q,CD$1)+COUNTIFS(Outcomes!$V:$V,'Quant analysis'!$BU20,Outcomes!$Q:$Q,CD$1)+COUNTIFS(Outcomes!$W:$W,'Quant analysis'!$BU20,Outcomes!$Q:$Q,CD$1)+COUNTIFS(Outcomes!$X:$X,'Quant analysis'!$BU20,Outcomes!$Q:$Q,CD$1)+COUNTIFS(Outcomes!$Y:$Y,'Quant analysis'!$BU20,Outcomes!$Q:$Q,CD$1)</f>
        <v>0</v>
      </c>
      <c r="CE20" s="105">
        <f>COUNTIFS(Outcomes!$U:$U,'Quant analysis'!$BU20,Outcomes!$Q:$Q,CE$1)+COUNTIFS(Outcomes!$V:$V,'Quant analysis'!$BU20,Outcomes!$Q:$Q,CE$1)+COUNTIFS(Outcomes!$W:$W,'Quant analysis'!$BU20,Outcomes!$Q:$Q,CE$1)+COUNTIFS(Outcomes!$X:$X,'Quant analysis'!$BU20,Outcomes!$Q:$Q,CE$1)+COUNTIFS(Outcomes!$Y:$Y,'Quant analysis'!$BU20,Outcomes!$Q:$Q,CE$1)</f>
        <v>0</v>
      </c>
      <c r="CF20" s="129">
        <f t="shared" si="4"/>
        <v>0</v>
      </c>
      <c r="CG20" s="130"/>
      <c r="CH20" s="130"/>
      <c r="CI20" s="130"/>
      <c r="CJ20" s="130"/>
      <c r="CK20" s="130"/>
      <c r="CL20" s="130"/>
      <c r="CM20" s="130"/>
      <c r="CN20" s="130"/>
      <c r="CO20" s="130"/>
      <c r="CP20" s="130"/>
      <c r="CQ20" s="130"/>
      <c r="CR20" s="130"/>
      <c r="CS20" s="130"/>
      <c r="CT20" s="130"/>
      <c r="CU20" s="130"/>
      <c r="CV20" s="131"/>
      <c r="CW20" s="129" t="s">
        <v>9</v>
      </c>
      <c r="CX20" s="129">
        <f>COUNTIFS(Table1[Outcome FY],'Quant analysis'!CX19,Table1[The Six Conditions of Systems Change (WORK IN PROGRESS)],'Quant analysis'!CW20,Table1[Level of influence],"subnational")</f>
        <v>0</v>
      </c>
      <c r="CY20" s="129">
        <f>COUNTIFS(Table1[Outcome FY],'Quant analysis'!CY19,Table1[The Six Conditions of Systems Change (WORK IN PROGRESS)],'Quant analysis'!CW20,Table1[Level of influence],"subnational")</f>
        <v>0</v>
      </c>
      <c r="CZ20" s="129">
        <f>COUNTIFS(Table1[Outcome FY],'Quant analysis'!CZ19,Table1[The Six Conditions of Systems Change (WORK IN PROGRESS)],'Quant analysis'!CW20,Table1[Level of influence],"subnational")</f>
        <v>0</v>
      </c>
      <c r="DA20" s="129">
        <f>COUNTIFS(Table1[Outcome FY],'Quant analysis'!DA19,Table1[The Six Conditions of Systems Change (WORK IN PROGRESS)],'Quant analysis'!CW20,Table1[Level of influence],"subnational")</f>
        <v>0</v>
      </c>
      <c r="DB20" s="129">
        <f>COUNTIFS(Table1[Outcome FY],'Quant analysis'!DB19,Table1[The Six Conditions of Systems Change (WORK IN PROGRESS)],'Quant analysis'!CW20,Table1[Level of influence],"subnational")</f>
        <v>0</v>
      </c>
      <c r="DC20" s="129">
        <f>COUNTIFS(Table1[Outcome FY],'Quant analysis'!DC19,Table1[The Six Conditions of Systems Change (WORK IN PROGRESS)],'Quant analysis'!CW20,Table1[Level of influence],"subnational")</f>
        <v>0</v>
      </c>
      <c r="DD20" s="129">
        <f>COUNTIFS(Table1[Outcome FY],'Quant analysis'!DD19,Table1[The Six Conditions of Systems Change (WORK IN PROGRESS)],'Quant analysis'!CW20,Table1[Level of influence],"subnational")</f>
        <v>0</v>
      </c>
      <c r="DE20" s="129">
        <f>SUM(CX20:DD20)</f>
        <v>0</v>
      </c>
      <c r="DF20" s="130"/>
      <c r="DG20" s="130"/>
      <c r="DH20" s="129" t="s">
        <v>239</v>
      </c>
      <c r="DI20" s="129" t="s">
        <v>188</v>
      </c>
      <c r="DJ20" s="68">
        <f t="shared" si="7"/>
        <v>0</v>
      </c>
      <c r="DK20" s="19">
        <f>COUNTIFS(Table1[Level of influence],"subnational",Table1[The Six Conditions of Systems Change (WORK IN PROGRESS)],"Policies",Table1[Output contribution 1],'Quant analysis'!DI20)+COUNTIFS(Table1[Level of influence],"subnational",Table1[The Six Conditions of Systems Change (WORK IN PROGRESS)],"Policies",Table1[Output contribution 2],'Quant analysis'!DI20)+COUNTIFS(Table1[Level of influence],"subnational",Table1[The Six Conditions of Systems Change (WORK IN PROGRESS)],"Policies",Table1[Output contribution 3],'Quant analysis'!DI20)+COUNTIFS(Table1[Level of influence],"subnational",Table1[The Six Conditions of Systems Change (WORK IN PROGRESS)],"Policies",Table1[Output contribution 4],'Quant analysis'!DI20)+COUNTIFS(Table1[Level of influence],"subnational",Table1[The Six Conditions of Systems Change (WORK IN PROGRESS)],"Policies",Table1[Output contribution 5],'Quant analysis'!DI20)+COUNTIFS(Table1[Level of influence],"national",Table1[The Six Conditions of Systems Change (WORK IN PROGRESS)],"Policies",Table1[Output contribution 1],'Quant analysis'!DI20)+COUNTIFS(Table1[Level of influence],"national",Table1[The Six Conditions of Systems Change (WORK IN PROGRESS)],"Policies",Table1[Output contribution 2],'Quant analysis'!DI20)+COUNTIFS(Table1[Level of influence],"national",Table1[The Six Conditions of Systems Change (WORK IN PROGRESS)],"Policies",Table1[Output contribution 3],'Quant analysis'!DI20)+COUNTIFS(Table1[Level of influence],"national",Table1[The Six Conditions of Systems Change (WORK IN PROGRESS)],"Policies",Table1[Output contribution 4],'Quant analysis'!DI20)+COUNTIFS(Table1[Level of influence],"national",Table1[The Six Conditions of Systems Change (WORK IN PROGRESS)],"Policies",Table1[Output contribution 5],'Quant analysis'!DI20)</f>
        <v>0</v>
      </c>
      <c r="DL20" s="19">
        <f>COUNTIFS(Table1[Level of influence],"subnational",Table1[The Six Conditions of Systems Change (WORK IN PROGRESS)],"Practices",Table1[Output contribution 1],'Quant analysis'!$DI20)+COUNTIFS(Table1[Level of influence],"subnational",Table1[The Six Conditions of Systems Change (WORK IN PROGRESS)],"Practices",Table1[Output contribution 2],'Quant analysis'!$DI20)+COUNTIFS(Table1[Level of influence],"subnational",Table1[The Six Conditions of Systems Change (WORK IN PROGRESS)],"Practices",Table1[Output contribution 3],'Quant analysis'!$DI20)+COUNTIFS(Table1[Level of influence],"subnational",Table1[The Six Conditions of Systems Change (WORK IN PROGRESS)],"Practices",Table1[Output contribution 4],'Quant analysis'!$DI20)+COUNTIFS(Table1[Level of influence],"subnational",Table1[The Six Conditions of Systems Change (WORK IN PROGRESS)],"Practices",Table1[Output contribution 5],'Quant analysis'!$DI20)+COUNTIFS(Table1[Level of influence],"national",Table1[The Six Conditions of Systems Change (WORK IN PROGRESS)],"Practices",Table1[Output contribution 1],'Quant analysis'!$DI20)+COUNTIFS(Table1[Level of influence],"national",Table1[The Six Conditions of Systems Change (WORK IN PROGRESS)],"Practices",Table1[Output contribution 2],'Quant analysis'!$DI20)+COUNTIFS(Table1[Level of influence],"national",Table1[The Six Conditions of Systems Change (WORK IN PROGRESS)],"Practices",Table1[Output contribution 3],'Quant analysis'!$DI20)+COUNTIFS(Table1[Level of influence],"national",Table1[The Six Conditions of Systems Change (WORK IN PROGRESS)],"Practices",Table1[Output contribution 4],'Quant analysis'!$DI20)+COUNTIFS(Table1[Level of influence],"national",Table1[The Six Conditions of Systems Change (WORK IN PROGRESS)],"Practices",Table1[Output contribution 5],'Quant analysis'!$DI20)</f>
        <v>0</v>
      </c>
      <c r="DM20" s="19">
        <f>COUNTIFS(Table1[Level of influence],"subnational",Table1[The Six Conditions of Systems Change (WORK IN PROGRESS)],DM$1,Table1[Output contribution 1],'Quant analysis'!$DI20)+COUNTIFS(Table1[Level of influence],"subnational",Table1[The Six Conditions of Systems Change (WORK IN PROGRESS)],DM$1,Table1[Output contribution 2],'Quant analysis'!$DI20)+COUNTIFS(Table1[Level of influence],"subnational",Table1[The Six Conditions of Systems Change (WORK IN PROGRESS)],DM$1,Table1[Output contribution 3],'Quant analysis'!$DI20)+COUNTIFS(Table1[Level of influence],"subnational",Table1[The Six Conditions of Systems Change (WORK IN PROGRESS)],DM$1,Table1[Output contribution 4],'Quant analysis'!$DI20)+COUNTIFS(Table1[Level of influence],"subnational",Table1[The Six Conditions of Systems Change (WORK IN PROGRESS)],DM$1,Table1[Output contribution 5],'Quant analysis'!$DI20)+COUNTIFS(Table1[Level of influence],"national",Table1[The Six Conditions of Systems Change (WORK IN PROGRESS)],DM$1,Table1[Output contribution 1],'Quant analysis'!$DI20)+COUNTIFS(Table1[Level of influence],"national",Table1[The Six Conditions of Systems Change (WORK IN PROGRESS)],DM$1,Table1[Output contribution 2],'Quant analysis'!$DI20)+COUNTIFS(Table1[Level of influence],"national",Table1[The Six Conditions of Systems Change (WORK IN PROGRESS)],DM$1,Table1[Output contribution 3],'Quant analysis'!$DI20)+COUNTIFS(Table1[Level of influence],"national",Table1[The Six Conditions of Systems Change (WORK IN PROGRESS)],DM$1,Table1[Output contribution 4],'Quant analysis'!$DI20)+COUNTIFS(Table1[Level of influence],"national",Table1[The Six Conditions of Systems Change (WORK IN PROGRESS)],DM$1,Table1[Output contribution 5],'Quant analysis'!$DI20)</f>
        <v>0</v>
      </c>
      <c r="DN20" s="19">
        <f>COUNTIFS(Table1[Level of influence],"subnational",Table1[The Six Conditions of Systems Change (WORK IN PROGRESS)],DN$1,Table1[Output contribution 1],'Quant analysis'!$DI20)+COUNTIFS(Table1[Level of influence],"subnational",Table1[The Six Conditions of Systems Change (WORK IN PROGRESS)],DN$1,Table1[Output contribution 2],'Quant analysis'!$DI20)+COUNTIFS(Table1[Level of influence],"subnational",Table1[The Six Conditions of Systems Change (WORK IN PROGRESS)],DN$1,Table1[Output contribution 3],'Quant analysis'!$DI20)+COUNTIFS(Table1[Level of influence],"subnational",Table1[The Six Conditions of Systems Change (WORK IN PROGRESS)],DN$1,Table1[Output contribution 4],'Quant analysis'!$DI20)+COUNTIFS(Table1[Level of influence],"subnational",Table1[The Six Conditions of Systems Change (WORK IN PROGRESS)],DN$1,Table1[Output contribution 5],'Quant analysis'!$DI20)+COUNTIFS(Table1[Level of influence],"national",Table1[The Six Conditions of Systems Change (WORK IN PROGRESS)],DN$1,Table1[Output contribution 1],'Quant analysis'!$DI20)+COUNTIFS(Table1[Level of influence],"national",Table1[The Six Conditions of Systems Change (WORK IN PROGRESS)],DN$1,Table1[Output contribution 2],'Quant analysis'!$DI20)+COUNTIFS(Table1[Level of influence],"national",Table1[The Six Conditions of Systems Change (WORK IN PROGRESS)],DN$1,Table1[Output contribution 3],'Quant analysis'!$DI20)+COUNTIFS(Table1[Level of influence],"national",Table1[The Six Conditions of Systems Change (WORK IN PROGRESS)],DN$1,Table1[Output contribution 4],'Quant analysis'!$DI20)+COUNTIFS(Table1[Level of influence],"national",Table1[The Six Conditions of Systems Change (WORK IN PROGRESS)],DN$1,Table1[Output contribution 5],'Quant analysis'!$DI20)</f>
        <v>0</v>
      </c>
      <c r="DO20" s="19">
        <f>COUNTIFS(Table1[Level of influence],"subnational",Table1[The Six Conditions of Systems Change (WORK IN PROGRESS)],DO$1,Table1[Output contribution 1],'Quant analysis'!$DI20)+COUNTIFS(Table1[Level of influence],"subnational",Table1[The Six Conditions of Systems Change (WORK IN PROGRESS)],DO$1,Table1[Output contribution 2],'Quant analysis'!$DI20)+COUNTIFS(Table1[Level of influence],"subnational",Table1[The Six Conditions of Systems Change (WORK IN PROGRESS)],DO$1,Table1[Output contribution 3],'Quant analysis'!$DI20)+COUNTIFS(Table1[Level of influence],"subnational",Table1[The Six Conditions of Systems Change (WORK IN PROGRESS)],DO$1,Table1[Output contribution 4],'Quant analysis'!$DI20)+COUNTIFS(Table1[Level of influence],"subnational",Table1[The Six Conditions of Systems Change (WORK IN PROGRESS)],DO$1,Table1[Output contribution 5],'Quant analysis'!$DI20)+COUNTIFS(Table1[Level of influence],"national",Table1[The Six Conditions of Systems Change (WORK IN PROGRESS)],DO$1,Table1[Output contribution 1],'Quant analysis'!$DI20)+COUNTIFS(Table1[Level of influence],"national",Table1[The Six Conditions of Systems Change (WORK IN PROGRESS)],DO$1,Table1[Output contribution 2],'Quant analysis'!$DI20)+COUNTIFS(Table1[Level of influence],"national",Table1[The Six Conditions of Systems Change (WORK IN PROGRESS)],DO$1,Table1[Output contribution 3],'Quant analysis'!$DI20)+COUNTIFS(Table1[Level of influence],"national",Table1[The Six Conditions of Systems Change (WORK IN PROGRESS)],DO$1,Table1[Output contribution 4],'Quant analysis'!$DI20)+COUNTIFS(Table1[Level of influence],"national",Table1[The Six Conditions of Systems Change (WORK IN PROGRESS)],DO$1,Table1[Output contribution 5],'Quant analysis'!$DI20)</f>
        <v>0</v>
      </c>
      <c r="DP20" s="19">
        <f>COUNTIFS(Table1[Level of influence],"subnational",Table1[The Six Conditions of Systems Change (WORK IN PROGRESS)],DP$1,Table1[Output contribution 1],'Quant analysis'!$DI20)+COUNTIFS(Table1[Level of influence],"subnational",Table1[The Six Conditions of Systems Change (WORK IN PROGRESS)],DP$1,Table1[Output contribution 2],'Quant analysis'!$DI20)+COUNTIFS(Table1[Level of influence],"subnational",Table1[The Six Conditions of Systems Change (WORK IN PROGRESS)],DP$1,Table1[Output contribution 3],'Quant analysis'!$DI20)+COUNTIFS(Table1[Level of influence],"subnational",Table1[The Six Conditions of Systems Change (WORK IN PROGRESS)],DP$1,Table1[Output contribution 4],'Quant analysis'!$DI20)+COUNTIFS(Table1[Level of influence],"subnational",Table1[The Six Conditions of Systems Change (WORK IN PROGRESS)],DP$1,Table1[Output contribution 5],'Quant analysis'!$DI20)+COUNTIFS(Table1[Level of influence],"national",Table1[The Six Conditions of Systems Change (WORK IN PROGRESS)],DP$1,Table1[Output contribution 1],'Quant analysis'!$DI20)+COUNTIFS(Table1[Level of influence],"national",Table1[The Six Conditions of Systems Change (WORK IN PROGRESS)],DP$1,Table1[Output contribution 2],'Quant analysis'!$DI20)+COUNTIFS(Table1[Level of influence],"national",Table1[The Six Conditions of Systems Change (WORK IN PROGRESS)],DP$1,Table1[Output contribution 3],'Quant analysis'!$DI20)+COUNTIFS(Table1[Level of influence],"national",Table1[The Six Conditions of Systems Change (WORK IN PROGRESS)],DP$1,Table1[Output contribution 4],'Quant analysis'!$DI20)+COUNTIFS(Table1[Level of influence],"national",Table1[The Six Conditions of Systems Change (WORK IN PROGRESS)],DP$1,Table1[Output contribution 5],'Quant analysis'!$DI20)</f>
        <v>0</v>
      </c>
      <c r="DQ20" s="130"/>
      <c r="DR20" s="130"/>
      <c r="DS20" s="157" t="s">
        <v>273</v>
      </c>
      <c r="DT20" s="129">
        <f>COUNTIFS(Table1[The Six Conditions of Systems Change (WORK IN PROGRESS)],'Quant analysis'!DT$1,Table1[Level of influence],"subnational",Table1['# of quarters between first contribution statement ],'Quant analysis'!$DS20)+COUNTIFS(Table1[The Six Conditions of Systems Change (WORK IN PROGRESS)],'Quant analysis'!DT$1,Table1[Level of influence],"national",Table1['# of quarters between first contribution statement ],'Quant analysis'!$DS20)</f>
        <v>0</v>
      </c>
      <c r="DU20" s="129">
        <f>COUNTIFS(Table1[The Six Conditions of Systems Change (WORK IN PROGRESS)],'Quant analysis'!DU$1,Table1[Level of influence],"subnational",Table1['# of quarters between first contribution statement ],'Quant analysis'!$DS20)+COUNTIFS(Table1[The Six Conditions of Systems Change (WORK IN PROGRESS)],'Quant analysis'!DU$1,Table1[Level of influence],"national",Table1['# of quarters between first contribution statement ],'Quant analysis'!$DS20)</f>
        <v>0</v>
      </c>
      <c r="DV20" s="129">
        <f>COUNTIFS(Table1[The Six Conditions of Systems Change (WORK IN PROGRESS)],'Quant analysis'!DV$1,Table1[Level of influence],"subnational",Table1['# of quarters between first contribution statement ],'Quant analysis'!$DS20)+COUNTIFS(Table1[The Six Conditions of Systems Change (WORK IN PROGRESS)],'Quant analysis'!DV$1,Table1[Level of influence],"national",Table1['# of quarters between first contribution statement ],'Quant analysis'!$DS20)</f>
        <v>0</v>
      </c>
      <c r="DW20" s="129">
        <f>COUNTIFS(Table1[The Six Conditions of Systems Change (WORK IN PROGRESS)],'Quant analysis'!DW$1,Table1[Level of influence],"subnational",Table1['# of quarters between first contribution statement ],'Quant analysis'!$DS20)+COUNTIFS(Table1[The Six Conditions of Systems Change (WORK IN PROGRESS)],'Quant analysis'!DW$1,Table1[Level of influence],"national",Table1['# of quarters between first contribution statement ],'Quant analysis'!$DS20)</f>
        <v>0</v>
      </c>
      <c r="DX20" s="129">
        <f>COUNTIFS(Table1[The Six Conditions of Systems Change (WORK IN PROGRESS)],'Quant analysis'!DX$1,Table1[Level of influence],"subnational",Table1['# of quarters between first contribution statement ],'Quant analysis'!$DS20)+COUNTIFS(Table1[The Six Conditions of Systems Change (WORK IN PROGRESS)],'Quant analysis'!DX$1,Table1[Level of influence],"national",Table1['# of quarters between first contribution statement ],'Quant analysis'!$DS20)</f>
        <v>0</v>
      </c>
      <c r="DY20" s="129">
        <f>COUNTIFS(Table1[The Six Conditions of Systems Change (WORK IN PROGRESS)],'Quant analysis'!DY$1,Table1[Level of influence],"subnational",Table1['# of quarters between first contribution statement ],'Quant analysis'!$DS20)+COUNTIFS(Table1[The Six Conditions of Systems Change (WORK IN PROGRESS)],'Quant analysis'!DY$1,Table1[Level of influence],"national",Table1['# of quarters between first contribution statement ],'Quant analysis'!$DS20)</f>
        <v>0</v>
      </c>
      <c r="DZ20" s="129"/>
      <c r="EA20" s="130"/>
      <c r="EB20" s="129" t="s">
        <v>9</v>
      </c>
      <c r="EC20" s="129">
        <f>COUNTIFS(Table1[Country/ Region/ Global],'Quant analysis'!$EC$18,Table1[The Six Conditions of Systems Change (WORK IN PROGRESS)],'Quant analysis'!$EB20,Table1[Outcome FY],'Quant analysis'!EC$19)</f>
        <v>0</v>
      </c>
      <c r="ED20" s="129">
        <f>COUNTIFS(Table1[Country/ Region/ Global],'Quant analysis'!$EC$18,Table1[The Six Conditions of Systems Change (WORK IN PROGRESS)],'Quant analysis'!$EB20,Table1[Outcome FY],'Quant analysis'!ED$19)</f>
        <v>0</v>
      </c>
      <c r="EE20" s="129">
        <f>COUNTIFS(Table1[Country/ Region/ Global],'Quant analysis'!$EC$18,Table1[The Six Conditions of Systems Change (WORK IN PROGRESS)],'Quant analysis'!$EB20,Table1[Outcome FY],'Quant analysis'!EE$19)</f>
        <v>0</v>
      </c>
      <c r="EF20" s="129">
        <f>COUNTIFS(Table1[Country/ Region/ Global],'Quant analysis'!$EC$18,Table1[The Six Conditions of Systems Change (WORK IN PROGRESS)],'Quant analysis'!$EB20,Table1[Outcome FY],'Quant analysis'!EF$19)</f>
        <v>0</v>
      </c>
      <c r="EG20" s="129">
        <f>COUNTIFS(Table1[Country/ Region/ Global],'Quant analysis'!$EC$18,Table1[The Six Conditions of Systems Change (WORK IN PROGRESS)],'Quant analysis'!$EB20,Table1[Outcome FY],'Quant analysis'!EG$19)</f>
        <v>0</v>
      </c>
      <c r="EH20" s="129">
        <f>COUNTIFS(Table1[Country/ Region/ Global],'Quant analysis'!$EC$18,Table1[The Six Conditions of Systems Change (WORK IN PROGRESS)],'Quant analysis'!$EB20,Table1[Outcome FY],'Quant analysis'!EH$19)</f>
        <v>0</v>
      </c>
      <c r="EI20" s="129">
        <f>COUNTIFS(Table1[Country/ Region/ Global],'Quant analysis'!$EC$18,Table1[The Six Conditions of Systems Change (WORK IN PROGRESS)],'Quant analysis'!$EB20,Table1[Outcome FY],'Quant analysis'!EI$19)</f>
        <v>0</v>
      </c>
      <c r="EJ20" s="129">
        <f>SUM(EC20:EI20)</f>
        <v>0</v>
      </c>
      <c r="EK20" s="130"/>
      <c r="EL20" s="130"/>
      <c r="EM20" s="129" t="s">
        <v>9</v>
      </c>
      <c r="EN20" s="129">
        <f>COUNTIFS(Table1[Country/ Region/ Global],'Quant analysis'!$EN$18,Table1[The Six Conditions of Systems Change (WORK IN PROGRESS)],'Quant analysis'!$EB20,Table1[Outcome FY],'Quant analysis'!EN$19)</f>
        <v>0</v>
      </c>
      <c r="EO20" s="129">
        <f>COUNTIFS(Table1[Country/ Region/ Global],'Quant analysis'!$EN$18,Table1[The Six Conditions of Systems Change (WORK IN PROGRESS)],'Quant analysis'!$EB20,Table1[Outcome FY],'Quant analysis'!EO$19)</f>
        <v>0</v>
      </c>
      <c r="EP20" s="129">
        <f>COUNTIFS(Table1[Country/ Region/ Global],'Quant analysis'!$EN$18,Table1[The Six Conditions of Systems Change (WORK IN PROGRESS)],'Quant analysis'!$EB20,Table1[Outcome FY],'Quant analysis'!EP$19)</f>
        <v>0</v>
      </c>
      <c r="EQ20" s="129">
        <f>COUNTIFS(Table1[Country/ Region/ Global],'Quant analysis'!$EN$18,Table1[The Six Conditions of Systems Change (WORK IN PROGRESS)],'Quant analysis'!$EB20,Table1[Outcome FY],'Quant analysis'!EQ$19)</f>
        <v>0</v>
      </c>
      <c r="ER20" s="129">
        <f>COUNTIFS(Table1[Country/ Region/ Global],'Quant analysis'!$EN$18,Table1[The Six Conditions of Systems Change (WORK IN PROGRESS)],'Quant analysis'!$EB20,Table1[Outcome FY],'Quant analysis'!ER$19)</f>
        <v>0</v>
      </c>
      <c r="ES20" s="129">
        <f>COUNTIFS(Table1[Country/ Region/ Global],'Quant analysis'!$EN$18,Table1[The Six Conditions of Systems Change (WORK IN PROGRESS)],'Quant analysis'!$EB20,Table1[Outcome FY],'Quant analysis'!ES$19)</f>
        <v>0</v>
      </c>
      <c r="ET20" s="129">
        <f>COUNTIFS(Table1[Country/ Region/ Global],'Quant analysis'!$EN$18,Table1[The Six Conditions of Systems Change (WORK IN PROGRESS)],'Quant analysis'!$EB20,Table1[Outcome FY],'Quant analysis'!ET$19)</f>
        <v>0</v>
      </c>
      <c r="EU20" s="129">
        <f>SUM(EN20:ET20)</f>
        <v>0</v>
      </c>
      <c r="EV20" s="130"/>
      <c r="EW20" s="129" t="s">
        <v>9</v>
      </c>
      <c r="EX20" s="129">
        <f>COUNTIFS(Table1[Country/ Region/ Global],'Quant analysis'!$EX$18,Table1[The Six Conditions of Systems Change (WORK IN PROGRESS)],'Quant analysis'!$EB20,Table1[Outcome FY],'Quant analysis'!EX$19)</f>
        <v>0</v>
      </c>
      <c r="EY20" s="129">
        <f>COUNTIFS(Table1[Country/ Region/ Global],'Quant analysis'!$EX$18,Table1[The Six Conditions of Systems Change (WORK IN PROGRESS)],'Quant analysis'!$EB20,Table1[Outcome FY],'Quant analysis'!EY$19)</f>
        <v>0</v>
      </c>
      <c r="EZ20" s="129">
        <f>COUNTIFS(Table1[Country/ Region/ Global],'Quant analysis'!$EX$18,Table1[The Six Conditions of Systems Change (WORK IN PROGRESS)],'Quant analysis'!$EB20,Table1[Outcome FY],'Quant analysis'!EZ$19)</f>
        <v>0</v>
      </c>
      <c r="FA20" s="129">
        <f>COUNTIFS(Table1[Country/ Region/ Global],'Quant analysis'!$EX$18,Table1[The Six Conditions of Systems Change (WORK IN PROGRESS)],'Quant analysis'!$EB20,Table1[Outcome FY],'Quant analysis'!FA$19)</f>
        <v>0</v>
      </c>
      <c r="FB20" s="129">
        <f>COUNTIFS(Table1[Country/ Region/ Global],'Quant analysis'!$EX$18,Table1[The Six Conditions of Systems Change (WORK IN PROGRESS)],'Quant analysis'!$EB20,Table1[Outcome FY],'Quant analysis'!FB$19)</f>
        <v>0</v>
      </c>
      <c r="FC20" s="129">
        <f>COUNTIFS(Table1[Country/ Region/ Global],'Quant analysis'!$EX$18,Table1[The Six Conditions of Systems Change (WORK IN PROGRESS)],'Quant analysis'!$EB20,Table1[Outcome FY],'Quant analysis'!FC$19)</f>
        <v>0</v>
      </c>
      <c r="FD20" s="129">
        <f>COUNTIFS(Table1[Country/ Region/ Global],'Quant analysis'!$EX$18,Table1[The Six Conditions of Systems Change (WORK IN PROGRESS)],'Quant analysis'!$EB20,Table1[Outcome FY],'Quant analysis'!FD$19)</f>
        <v>0</v>
      </c>
      <c r="FE20" s="129">
        <f>SUM(EX20:FD20)</f>
        <v>0</v>
      </c>
    </row>
    <row r="21" spans="1:161" x14ac:dyDescent="0.2">
      <c r="A21" s="130"/>
      <c r="B21" s="130"/>
      <c r="C21" s="130"/>
      <c r="D21" s="130"/>
      <c r="E21" s="130"/>
      <c r="F21" s="130"/>
      <c r="G21" s="130"/>
      <c r="H21" s="130"/>
      <c r="I21" s="130"/>
      <c r="J21" s="130"/>
      <c r="K21" s="130"/>
      <c r="L21" s="130"/>
      <c r="M21" s="130"/>
      <c r="N21" s="130"/>
      <c r="O21" s="130"/>
      <c r="P21" s="130"/>
      <c r="Q21" s="130"/>
      <c r="R21" s="130"/>
      <c r="S21" s="130" t="s">
        <v>244</v>
      </c>
      <c r="T21" s="129" t="s">
        <v>184</v>
      </c>
      <c r="U21" s="129">
        <f>COUNTIF(Outcomes!$L:$L,'Quant analysis'!$T21)</f>
        <v>0</v>
      </c>
      <c r="V21" s="19">
        <f>COUNTIFS(Outcomes!$L:$L,'Quant analysis'!$T21,Outcomes!$Q:$Q,V$1)</f>
        <v>0</v>
      </c>
      <c r="W21" s="19">
        <f>COUNTIFS(Outcomes!$L:$L,'Quant analysis'!$T21,Outcomes!$Q:$Q,W$1)</f>
        <v>0</v>
      </c>
      <c r="X21" s="19">
        <f>COUNTIFS(Outcomes!$L:$L,'Quant analysis'!$T21,Outcomes!$Q:$Q,X$1)</f>
        <v>0</v>
      </c>
      <c r="Y21" s="19">
        <f>COUNTIFS(Outcomes!$L:$L,'Quant analysis'!$T21,Outcomes!$Q:$Q,Y$1)</f>
        <v>0</v>
      </c>
      <c r="Z21" s="19">
        <f>COUNTIFS(Outcomes!$L:$L,'Quant analysis'!$T21,Outcomes!$Q:$Q,Z$1)</f>
        <v>0</v>
      </c>
      <c r="AA21" s="105">
        <f>COUNTIFS(Outcomes!$L:$L,'Quant analysis'!$T21,Outcomes!$Q:$Q,AA$1)</f>
        <v>0</v>
      </c>
      <c r="AB21" s="105">
        <f>COUNTIFS(Outcomes!$L:$L,'Quant analysis'!$T21,Outcomes!$Q:$Q,AB$1)</f>
        <v>0</v>
      </c>
      <c r="AC21" s="105">
        <f>COUNTIFS(Outcomes!$L:$L,'Quant analysis'!$T21,Outcomes!$Q:$Q,AC$1)</f>
        <v>0</v>
      </c>
      <c r="AD21" s="105">
        <f>COUNTIFS(Outcomes!$L:$L,'Quant analysis'!$T21,Outcomes!$Q:$Q,AD$1)</f>
        <v>0</v>
      </c>
      <c r="AE21" s="130">
        <f t="shared" si="0"/>
        <v>0</v>
      </c>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29" t="s">
        <v>242</v>
      </c>
      <c r="BU21" s="129" t="s">
        <v>138</v>
      </c>
      <c r="BV21" s="68">
        <f>COUNTIF(Outcomes!U:Y,'Quant analysis'!BU21)</f>
        <v>0</v>
      </c>
      <c r="BW21" s="19">
        <f>COUNTIFS(Outcomes!$U:$U,'Quant analysis'!$BU21,Outcomes!$Q:$Q,BW$1)+COUNTIFS(Outcomes!$V:$V,'Quant analysis'!$BU21,Outcomes!$Q:$Q,BW$1)+COUNTIFS(Outcomes!$W:$W,'Quant analysis'!$BU21,Outcomes!$Q:$Q,BW$1)+COUNTIFS(Outcomes!$X:$X,'Quant analysis'!$BU21,Outcomes!$Q:$Q,BW$1)+COUNTIFS(Outcomes!$Y:$Y,'Quant analysis'!$BU21,Outcomes!$Q:$Q,BW$1)</f>
        <v>0</v>
      </c>
      <c r="BX21" s="19">
        <f>COUNTIFS(Outcomes!$U:$U,'Quant analysis'!$BU21,Outcomes!$Q:$Q,BX$1)+COUNTIFS(Outcomes!$V:$V,'Quant analysis'!$BU21,Outcomes!$Q:$Q,BX$1)+COUNTIFS(Outcomes!$W:$W,'Quant analysis'!$BU21,Outcomes!$Q:$Q,BX$1)+COUNTIFS(Outcomes!$X:$X,'Quant analysis'!$BU21,Outcomes!$Q:$Q,BX$1)+COUNTIFS(Outcomes!$Y:$Y,'Quant analysis'!$BU21,Outcomes!$Q:$Q,BX$1)</f>
        <v>0</v>
      </c>
      <c r="BY21" s="19">
        <f>COUNTIFS(Outcomes!$U:$U,'Quant analysis'!$BU21,Outcomes!$Q:$Q,BY$1)+COUNTIFS(Outcomes!$V:$V,'Quant analysis'!$BU21,Outcomes!$Q:$Q,BY$1)+COUNTIFS(Outcomes!$W:$W,'Quant analysis'!$BU21,Outcomes!$Q:$Q,BY$1)+COUNTIFS(Outcomes!$X:$X,'Quant analysis'!$BU21,Outcomes!$Q:$Q,BY$1)+COUNTIFS(Outcomes!$Y:$Y,'Quant analysis'!$BU21,Outcomes!$Q:$Q,BY$1)</f>
        <v>0</v>
      </c>
      <c r="BZ21" s="19">
        <f>COUNTIFS(Outcomes!$U:$U,'Quant analysis'!$BU21,Outcomes!$Q:$Q,BZ$1)+COUNTIFS(Outcomes!$V:$V,'Quant analysis'!$BU21,Outcomes!$Q:$Q,BZ$1)+COUNTIFS(Outcomes!$W:$W,'Quant analysis'!$BU21,Outcomes!$Q:$Q,BZ$1)+COUNTIFS(Outcomes!$X:$X,'Quant analysis'!$BU21,Outcomes!$Q:$Q,BZ$1)+COUNTIFS(Outcomes!$Y:$Y,'Quant analysis'!$BU21,Outcomes!$Q:$Q,BZ$1)</f>
        <v>0</v>
      </c>
      <c r="CA21" s="19">
        <f>COUNTIFS(Outcomes!$U:$U,'Quant analysis'!$BU21,Outcomes!$Q:$Q,CA$1)+COUNTIFS(Outcomes!$V:$V,'Quant analysis'!$BU21,Outcomes!$Q:$Q,CA$1)+COUNTIFS(Outcomes!$W:$W,'Quant analysis'!$BU21,Outcomes!$Q:$Q,CA$1)+COUNTIFS(Outcomes!$X:$X,'Quant analysis'!$BU21,Outcomes!$Q:$Q,CA$1)+COUNTIFS(Outcomes!$Y:$Y,'Quant analysis'!$BU21,Outcomes!$Q:$Q,CA$1)</f>
        <v>0</v>
      </c>
      <c r="CB21" s="105">
        <f>COUNTIFS(Outcomes!$U:$U,'Quant analysis'!$BU21,Outcomes!$Q:$Q,CB$1)+COUNTIFS(Outcomes!$V:$V,'Quant analysis'!$BU21,Outcomes!$Q:$Q,CB$1)+COUNTIFS(Outcomes!$W:$W,'Quant analysis'!$BU21,Outcomes!$Q:$Q,CB$1)+COUNTIFS(Outcomes!$X:$X,'Quant analysis'!$BU21,Outcomes!$Q:$Q,CB$1)+COUNTIFS(Outcomes!$Y:$Y,'Quant analysis'!$BU21,Outcomes!$Q:$Q,CB$1)</f>
        <v>0</v>
      </c>
      <c r="CC21" s="105">
        <f>COUNTIFS(Outcomes!$U:$U,'Quant analysis'!$BU21,Outcomes!$Q:$Q,CC$1)+COUNTIFS(Outcomes!$V:$V,'Quant analysis'!$BU21,Outcomes!$Q:$Q,CC$1)+COUNTIFS(Outcomes!$W:$W,'Quant analysis'!$BU21,Outcomes!$Q:$Q,CC$1)+COUNTIFS(Outcomes!$X:$X,'Quant analysis'!$BU21,Outcomes!$Q:$Q,CC$1)+COUNTIFS(Outcomes!$Y:$Y,'Quant analysis'!$BU21,Outcomes!$Q:$Q,CC$1)</f>
        <v>0</v>
      </c>
      <c r="CD21" s="105">
        <f>COUNTIFS(Outcomes!$U:$U,'Quant analysis'!$BU21,Outcomes!$Q:$Q,CD$1)+COUNTIFS(Outcomes!$V:$V,'Quant analysis'!$BU21,Outcomes!$Q:$Q,CD$1)+COUNTIFS(Outcomes!$W:$W,'Quant analysis'!$BU21,Outcomes!$Q:$Q,CD$1)+COUNTIFS(Outcomes!$X:$X,'Quant analysis'!$BU21,Outcomes!$Q:$Q,CD$1)+COUNTIFS(Outcomes!$Y:$Y,'Quant analysis'!$BU21,Outcomes!$Q:$Q,CD$1)</f>
        <v>0</v>
      </c>
      <c r="CE21" s="105">
        <f>COUNTIFS(Outcomes!$U:$U,'Quant analysis'!$BU21,Outcomes!$Q:$Q,CE$1)+COUNTIFS(Outcomes!$V:$V,'Quant analysis'!$BU21,Outcomes!$Q:$Q,CE$1)+COUNTIFS(Outcomes!$W:$W,'Quant analysis'!$BU21,Outcomes!$Q:$Q,CE$1)+COUNTIFS(Outcomes!$X:$X,'Quant analysis'!$BU21,Outcomes!$Q:$Q,CE$1)+COUNTIFS(Outcomes!$Y:$Y,'Quant analysis'!$BU21,Outcomes!$Q:$Q,CE$1)</f>
        <v>0</v>
      </c>
      <c r="CF21" s="129">
        <f t="shared" si="4"/>
        <v>0</v>
      </c>
      <c r="CG21" s="130"/>
      <c r="CH21" s="130"/>
      <c r="CI21" s="130"/>
      <c r="CJ21" s="130"/>
      <c r="CK21" s="130"/>
      <c r="CL21" s="130"/>
      <c r="CM21" s="130"/>
      <c r="CN21" s="130"/>
      <c r="CO21" s="130"/>
      <c r="CP21" s="130"/>
      <c r="CQ21" s="130"/>
      <c r="CR21" s="130"/>
      <c r="CS21" s="130"/>
      <c r="CT21" s="130"/>
      <c r="CU21" s="130"/>
      <c r="CV21" s="131"/>
      <c r="CW21" s="129" t="s">
        <v>11</v>
      </c>
      <c r="CX21" s="129">
        <f>COUNTIFS(Table1[Outcome FY],'Quant analysis'!CX19,Table1[The Six Conditions of Systems Change (WORK IN PROGRESS)],'Quant analysis'!CW21,Table1[Level of influence],"subnational")</f>
        <v>0</v>
      </c>
      <c r="CY21" s="129">
        <f>COUNTIFS(Table1[Outcome FY],'Quant analysis'!CY19,Table1[The Six Conditions of Systems Change (WORK IN PROGRESS)],'Quant analysis'!CW21,Table1[Level of influence],"subnational")</f>
        <v>0</v>
      </c>
      <c r="CZ21" s="129">
        <f>COUNTIFS(Table1[Outcome FY],'Quant analysis'!CZ19,Table1[The Six Conditions of Systems Change (WORK IN PROGRESS)],'Quant analysis'!CW21,Table1[Level of influence],"subnational")</f>
        <v>0</v>
      </c>
      <c r="DA21" s="129">
        <f>COUNTIFS(Table1[Outcome FY],'Quant analysis'!DA19,Table1[The Six Conditions of Systems Change (WORK IN PROGRESS)],'Quant analysis'!CW21,Table1[Level of influence],"subnational")</f>
        <v>0</v>
      </c>
      <c r="DB21" s="129">
        <f>COUNTIFS(Table1[Outcome FY],'Quant analysis'!DB19,Table1[The Six Conditions of Systems Change (WORK IN PROGRESS)],'Quant analysis'!CW21,Table1[Level of influence],"subnational")</f>
        <v>0</v>
      </c>
      <c r="DC21" s="129">
        <f>COUNTIFS(Table1[Outcome FY],'Quant analysis'!DC19,Table1[The Six Conditions of Systems Change (WORK IN PROGRESS)],'Quant analysis'!CW21,Table1[Level of influence],"subnational")</f>
        <v>0</v>
      </c>
      <c r="DD21" s="129">
        <f>COUNTIFS(Table1[Outcome FY],'Quant analysis'!DD19,Table1[The Six Conditions of Systems Change (WORK IN PROGRESS)],'Quant analysis'!CW21,Table1[Level of influence],"subnational")</f>
        <v>0</v>
      </c>
      <c r="DE21" s="129">
        <f>SUM(CX21:DD21)</f>
        <v>0</v>
      </c>
      <c r="DF21" s="130"/>
      <c r="DG21" s="130"/>
      <c r="DH21" s="129" t="s">
        <v>242</v>
      </c>
      <c r="DI21" s="129" t="s">
        <v>138</v>
      </c>
      <c r="DJ21" s="68">
        <f t="shared" si="7"/>
        <v>0</v>
      </c>
      <c r="DK21" s="19">
        <f>COUNTIFS(Table1[Level of influence],"subnational",Table1[The Six Conditions of Systems Change (WORK IN PROGRESS)],"Policies",Table1[Output contribution 1],'Quant analysis'!DI21)+COUNTIFS(Table1[Level of influence],"subnational",Table1[The Six Conditions of Systems Change (WORK IN PROGRESS)],"Policies",Table1[Output contribution 2],'Quant analysis'!DI21)+COUNTIFS(Table1[Level of influence],"subnational",Table1[The Six Conditions of Systems Change (WORK IN PROGRESS)],"Policies",Table1[Output contribution 3],'Quant analysis'!DI21)+COUNTIFS(Table1[Level of influence],"subnational",Table1[The Six Conditions of Systems Change (WORK IN PROGRESS)],"Policies",Table1[Output contribution 4],'Quant analysis'!DI21)+COUNTIFS(Table1[Level of influence],"subnational",Table1[The Six Conditions of Systems Change (WORK IN PROGRESS)],"Policies",Table1[Output contribution 5],'Quant analysis'!DI21)+COUNTIFS(Table1[Level of influence],"national",Table1[The Six Conditions of Systems Change (WORK IN PROGRESS)],"Policies",Table1[Output contribution 1],'Quant analysis'!DI21)+COUNTIFS(Table1[Level of influence],"national",Table1[The Six Conditions of Systems Change (WORK IN PROGRESS)],"Policies",Table1[Output contribution 2],'Quant analysis'!DI21)+COUNTIFS(Table1[Level of influence],"national",Table1[The Six Conditions of Systems Change (WORK IN PROGRESS)],"Policies",Table1[Output contribution 3],'Quant analysis'!DI21)+COUNTIFS(Table1[Level of influence],"national",Table1[The Six Conditions of Systems Change (WORK IN PROGRESS)],"Policies",Table1[Output contribution 4],'Quant analysis'!DI21)+COUNTIFS(Table1[Level of influence],"national",Table1[The Six Conditions of Systems Change (WORK IN PROGRESS)],"Policies",Table1[Output contribution 5],'Quant analysis'!DI21)</f>
        <v>0</v>
      </c>
      <c r="DL21" s="19">
        <f>COUNTIFS(Table1[Level of influence],"subnational",Table1[The Six Conditions of Systems Change (WORK IN PROGRESS)],"Practices",Table1[Output contribution 1],'Quant analysis'!$DI21)+COUNTIFS(Table1[Level of influence],"subnational",Table1[The Six Conditions of Systems Change (WORK IN PROGRESS)],"Practices",Table1[Output contribution 2],'Quant analysis'!$DI21)+COUNTIFS(Table1[Level of influence],"subnational",Table1[The Six Conditions of Systems Change (WORK IN PROGRESS)],"Practices",Table1[Output contribution 3],'Quant analysis'!$DI21)+COUNTIFS(Table1[Level of influence],"subnational",Table1[The Six Conditions of Systems Change (WORK IN PROGRESS)],"Practices",Table1[Output contribution 4],'Quant analysis'!$DI21)+COUNTIFS(Table1[Level of influence],"subnational",Table1[The Six Conditions of Systems Change (WORK IN PROGRESS)],"Practices",Table1[Output contribution 5],'Quant analysis'!$DI21)+COUNTIFS(Table1[Level of influence],"national",Table1[The Six Conditions of Systems Change (WORK IN PROGRESS)],"Practices",Table1[Output contribution 1],'Quant analysis'!$DI21)+COUNTIFS(Table1[Level of influence],"national",Table1[The Six Conditions of Systems Change (WORK IN PROGRESS)],"Practices",Table1[Output contribution 2],'Quant analysis'!$DI21)+COUNTIFS(Table1[Level of influence],"national",Table1[The Six Conditions of Systems Change (WORK IN PROGRESS)],"Practices",Table1[Output contribution 3],'Quant analysis'!$DI21)+COUNTIFS(Table1[Level of influence],"national",Table1[The Six Conditions of Systems Change (WORK IN PROGRESS)],"Practices",Table1[Output contribution 4],'Quant analysis'!$DI21)+COUNTIFS(Table1[Level of influence],"national",Table1[The Six Conditions of Systems Change (WORK IN PROGRESS)],"Practices",Table1[Output contribution 5],'Quant analysis'!$DI21)</f>
        <v>0</v>
      </c>
      <c r="DM21" s="19">
        <f>COUNTIFS(Table1[Level of influence],"subnational",Table1[The Six Conditions of Systems Change (WORK IN PROGRESS)],DM$1,Table1[Output contribution 1],'Quant analysis'!$DI21)+COUNTIFS(Table1[Level of influence],"subnational",Table1[The Six Conditions of Systems Change (WORK IN PROGRESS)],DM$1,Table1[Output contribution 2],'Quant analysis'!$DI21)+COUNTIFS(Table1[Level of influence],"subnational",Table1[The Six Conditions of Systems Change (WORK IN PROGRESS)],DM$1,Table1[Output contribution 3],'Quant analysis'!$DI21)+COUNTIFS(Table1[Level of influence],"subnational",Table1[The Six Conditions of Systems Change (WORK IN PROGRESS)],DM$1,Table1[Output contribution 4],'Quant analysis'!$DI21)+COUNTIFS(Table1[Level of influence],"subnational",Table1[The Six Conditions of Systems Change (WORK IN PROGRESS)],DM$1,Table1[Output contribution 5],'Quant analysis'!$DI21)+COUNTIFS(Table1[Level of influence],"national",Table1[The Six Conditions of Systems Change (WORK IN PROGRESS)],DM$1,Table1[Output contribution 1],'Quant analysis'!$DI21)+COUNTIFS(Table1[Level of influence],"national",Table1[The Six Conditions of Systems Change (WORK IN PROGRESS)],DM$1,Table1[Output contribution 2],'Quant analysis'!$DI21)+COUNTIFS(Table1[Level of influence],"national",Table1[The Six Conditions of Systems Change (WORK IN PROGRESS)],DM$1,Table1[Output contribution 3],'Quant analysis'!$DI21)+COUNTIFS(Table1[Level of influence],"national",Table1[The Six Conditions of Systems Change (WORK IN PROGRESS)],DM$1,Table1[Output contribution 4],'Quant analysis'!$DI21)+COUNTIFS(Table1[Level of influence],"national",Table1[The Six Conditions of Systems Change (WORK IN PROGRESS)],DM$1,Table1[Output contribution 5],'Quant analysis'!$DI21)</f>
        <v>0</v>
      </c>
      <c r="DN21" s="19">
        <f>COUNTIFS(Table1[Level of influence],"subnational",Table1[The Six Conditions of Systems Change (WORK IN PROGRESS)],DN$1,Table1[Output contribution 1],'Quant analysis'!$DI21)+COUNTIFS(Table1[Level of influence],"subnational",Table1[The Six Conditions of Systems Change (WORK IN PROGRESS)],DN$1,Table1[Output contribution 2],'Quant analysis'!$DI21)+COUNTIFS(Table1[Level of influence],"subnational",Table1[The Six Conditions of Systems Change (WORK IN PROGRESS)],DN$1,Table1[Output contribution 3],'Quant analysis'!$DI21)+COUNTIFS(Table1[Level of influence],"subnational",Table1[The Six Conditions of Systems Change (WORK IN PROGRESS)],DN$1,Table1[Output contribution 4],'Quant analysis'!$DI21)+COUNTIFS(Table1[Level of influence],"subnational",Table1[The Six Conditions of Systems Change (WORK IN PROGRESS)],DN$1,Table1[Output contribution 5],'Quant analysis'!$DI21)+COUNTIFS(Table1[Level of influence],"national",Table1[The Six Conditions of Systems Change (WORK IN PROGRESS)],DN$1,Table1[Output contribution 1],'Quant analysis'!$DI21)+COUNTIFS(Table1[Level of influence],"national",Table1[The Six Conditions of Systems Change (WORK IN PROGRESS)],DN$1,Table1[Output contribution 2],'Quant analysis'!$DI21)+COUNTIFS(Table1[Level of influence],"national",Table1[The Six Conditions of Systems Change (WORK IN PROGRESS)],DN$1,Table1[Output contribution 3],'Quant analysis'!$DI21)+COUNTIFS(Table1[Level of influence],"national",Table1[The Six Conditions of Systems Change (WORK IN PROGRESS)],DN$1,Table1[Output contribution 4],'Quant analysis'!$DI21)+COUNTIFS(Table1[Level of influence],"national",Table1[The Six Conditions of Systems Change (WORK IN PROGRESS)],DN$1,Table1[Output contribution 5],'Quant analysis'!$DI21)</f>
        <v>0</v>
      </c>
      <c r="DO21" s="19">
        <f>COUNTIFS(Table1[Level of influence],"subnational",Table1[The Six Conditions of Systems Change (WORK IN PROGRESS)],DO$1,Table1[Output contribution 1],'Quant analysis'!$DI21)+COUNTIFS(Table1[Level of influence],"subnational",Table1[The Six Conditions of Systems Change (WORK IN PROGRESS)],DO$1,Table1[Output contribution 2],'Quant analysis'!$DI21)+COUNTIFS(Table1[Level of influence],"subnational",Table1[The Six Conditions of Systems Change (WORK IN PROGRESS)],DO$1,Table1[Output contribution 3],'Quant analysis'!$DI21)+COUNTIFS(Table1[Level of influence],"subnational",Table1[The Six Conditions of Systems Change (WORK IN PROGRESS)],DO$1,Table1[Output contribution 4],'Quant analysis'!$DI21)+COUNTIFS(Table1[Level of influence],"subnational",Table1[The Six Conditions of Systems Change (WORK IN PROGRESS)],DO$1,Table1[Output contribution 5],'Quant analysis'!$DI21)+COUNTIFS(Table1[Level of influence],"national",Table1[The Six Conditions of Systems Change (WORK IN PROGRESS)],DO$1,Table1[Output contribution 1],'Quant analysis'!$DI21)+COUNTIFS(Table1[Level of influence],"national",Table1[The Six Conditions of Systems Change (WORK IN PROGRESS)],DO$1,Table1[Output contribution 2],'Quant analysis'!$DI21)+COUNTIFS(Table1[Level of influence],"national",Table1[The Six Conditions of Systems Change (WORK IN PROGRESS)],DO$1,Table1[Output contribution 3],'Quant analysis'!$DI21)+COUNTIFS(Table1[Level of influence],"national",Table1[The Six Conditions of Systems Change (WORK IN PROGRESS)],DO$1,Table1[Output contribution 4],'Quant analysis'!$DI21)+COUNTIFS(Table1[Level of influence],"national",Table1[The Six Conditions of Systems Change (WORK IN PROGRESS)],DO$1,Table1[Output contribution 5],'Quant analysis'!$DI21)</f>
        <v>0</v>
      </c>
      <c r="DP21" s="19">
        <f>COUNTIFS(Table1[Level of influence],"subnational",Table1[The Six Conditions of Systems Change (WORK IN PROGRESS)],DP$1,Table1[Output contribution 1],'Quant analysis'!$DI21)+COUNTIFS(Table1[Level of influence],"subnational",Table1[The Six Conditions of Systems Change (WORK IN PROGRESS)],DP$1,Table1[Output contribution 2],'Quant analysis'!$DI21)+COUNTIFS(Table1[Level of influence],"subnational",Table1[The Six Conditions of Systems Change (WORK IN PROGRESS)],DP$1,Table1[Output contribution 3],'Quant analysis'!$DI21)+COUNTIFS(Table1[Level of influence],"subnational",Table1[The Six Conditions of Systems Change (WORK IN PROGRESS)],DP$1,Table1[Output contribution 4],'Quant analysis'!$DI21)+COUNTIFS(Table1[Level of influence],"subnational",Table1[The Six Conditions of Systems Change (WORK IN PROGRESS)],DP$1,Table1[Output contribution 5],'Quant analysis'!$DI21)+COUNTIFS(Table1[Level of influence],"national",Table1[The Six Conditions of Systems Change (WORK IN PROGRESS)],DP$1,Table1[Output contribution 1],'Quant analysis'!$DI21)+COUNTIFS(Table1[Level of influence],"national",Table1[The Six Conditions of Systems Change (WORK IN PROGRESS)],DP$1,Table1[Output contribution 2],'Quant analysis'!$DI21)+COUNTIFS(Table1[Level of influence],"national",Table1[The Six Conditions of Systems Change (WORK IN PROGRESS)],DP$1,Table1[Output contribution 3],'Quant analysis'!$DI21)+COUNTIFS(Table1[Level of influence],"national",Table1[The Six Conditions of Systems Change (WORK IN PROGRESS)],DP$1,Table1[Output contribution 4],'Quant analysis'!$DI21)+COUNTIFS(Table1[Level of influence],"national",Table1[The Six Conditions of Systems Change (WORK IN PROGRESS)],DP$1,Table1[Output contribution 5],'Quant analysis'!$DI21)</f>
        <v>0</v>
      </c>
      <c r="DQ21" s="130"/>
      <c r="DR21" s="130"/>
      <c r="DS21" s="157" t="s">
        <v>274</v>
      </c>
      <c r="DT21" s="129">
        <f>COUNTIFS(Table1[The Six Conditions of Systems Change (WORK IN PROGRESS)],'Quant analysis'!DT$1,Table1[Level of influence],"subnational",Table1['# of quarters between first contribution statement ],'Quant analysis'!$DS21)+COUNTIFS(Table1[The Six Conditions of Systems Change (WORK IN PROGRESS)],'Quant analysis'!DT$1,Table1[Level of influence],"national",Table1['# of quarters between first contribution statement ],'Quant analysis'!$DS21)</f>
        <v>0</v>
      </c>
      <c r="DU21" s="129">
        <f>COUNTIFS(Table1[The Six Conditions of Systems Change (WORK IN PROGRESS)],'Quant analysis'!DU$1,Table1[Level of influence],"subnational",Table1['# of quarters between first contribution statement ],'Quant analysis'!$DS21)+COUNTIFS(Table1[The Six Conditions of Systems Change (WORK IN PROGRESS)],'Quant analysis'!DU$1,Table1[Level of influence],"national",Table1['# of quarters between first contribution statement ],'Quant analysis'!$DS21)</f>
        <v>0</v>
      </c>
      <c r="DV21" s="129">
        <f>COUNTIFS(Table1[The Six Conditions of Systems Change (WORK IN PROGRESS)],'Quant analysis'!DV$1,Table1[Level of influence],"subnational",Table1['# of quarters between first contribution statement ],'Quant analysis'!$DS21)+COUNTIFS(Table1[The Six Conditions of Systems Change (WORK IN PROGRESS)],'Quant analysis'!DV$1,Table1[Level of influence],"national",Table1['# of quarters between first contribution statement ],'Quant analysis'!$DS21)</f>
        <v>0</v>
      </c>
      <c r="DW21" s="129">
        <f>COUNTIFS(Table1[The Six Conditions of Systems Change (WORK IN PROGRESS)],'Quant analysis'!DW$1,Table1[Level of influence],"subnational",Table1['# of quarters between first contribution statement ],'Quant analysis'!$DS21)+COUNTIFS(Table1[The Six Conditions of Systems Change (WORK IN PROGRESS)],'Quant analysis'!DW$1,Table1[Level of influence],"national",Table1['# of quarters between first contribution statement ],'Quant analysis'!$DS21)</f>
        <v>0</v>
      </c>
      <c r="DX21" s="129">
        <f>COUNTIFS(Table1[The Six Conditions of Systems Change (WORK IN PROGRESS)],'Quant analysis'!DX$1,Table1[Level of influence],"subnational",Table1['# of quarters between first contribution statement ],'Quant analysis'!$DS21)+COUNTIFS(Table1[The Six Conditions of Systems Change (WORK IN PROGRESS)],'Quant analysis'!DX$1,Table1[Level of influence],"national",Table1['# of quarters between first contribution statement ],'Quant analysis'!$DS21)</f>
        <v>0</v>
      </c>
      <c r="DY21" s="129">
        <f>COUNTIFS(Table1[The Six Conditions of Systems Change (WORK IN PROGRESS)],'Quant analysis'!DY$1,Table1[Level of influence],"subnational",Table1['# of quarters between first contribution statement ],'Quant analysis'!$DS21)+COUNTIFS(Table1[The Six Conditions of Systems Change (WORK IN PROGRESS)],'Quant analysis'!DY$1,Table1[Level of influence],"national",Table1['# of quarters between first contribution statement ],'Quant analysis'!$DS21)</f>
        <v>0</v>
      </c>
      <c r="DZ21" s="129"/>
      <c r="EA21" s="130"/>
      <c r="EB21" s="129" t="s">
        <v>11</v>
      </c>
      <c r="EC21" s="129">
        <f>COUNTIFS(Table1[Country/ Region/ Global],'Quant analysis'!$EC$18,Table1[The Six Conditions of Systems Change (WORK IN PROGRESS)],'Quant analysis'!EB21,Table1[Outcome FY],'Quant analysis'!EC$19)</f>
        <v>0</v>
      </c>
      <c r="ED21" s="129">
        <f>COUNTIFS(Table1[Country/ Region/ Global],'Quant analysis'!$EC$18,Table1[The Six Conditions of Systems Change (WORK IN PROGRESS)],'Quant analysis'!EB21,Table1[Outcome FY],'Quant analysis'!ED$19)</f>
        <v>0</v>
      </c>
      <c r="EE21" s="129">
        <f>COUNTIFS(Table1[Country/ Region/ Global],'Quant analysis'!$EC$18,Table1[The Six Conditions of Systems Change (WORK IN PROGRESS)],'Quant analysis'!$EB21,Table1[Outcome FY],'Quant analysis'!EE$19)</f>
        <v>0</v>
      </c>
      <c r="EF21" s="129">
        <f>COUNTIFS(Table1[Country/ Region/ Global],'Quant analysis'!$EC$18,Table1[The Six Conditions of Systems Change (WORK IN PROGRESS)],'Quant analysis'!$EB21,Table1[Outcome FY],'Quant analysis'!EF$19)</f>
        <v>0</v>
      </c>
      <c r="EG21" s="129">
        <f>COUNTIFS(Table1[Country/ Region/ Global],'Quant analysis'!$EC$18,Table1[The Six Conditions of Systems Change (WORK IN PROGRESS)],'Quant analysis'!$EB21,Table1[Outcome FY],'Quant analysis'!EG$19)</f>
        <v>0</v>
      </c>
      <c r="EH21" s="129">
        <f>COUNTIFS(Table1[Country/ Region/ Global],'Quant analysis'!$EC$18,Table1[The Six Conditions of Systems Change (WORK IN PROGRESS)],'Quant analysis'!$EB21,Table1[Outcome FY],'Quant analysis'!EH$19)</f>
        <v>0</v>
      </c>
      <c r="EI21" s="129">
        <f>COUNTIFS(Table1[Country/ Region/ Global],'Quant analysis'!$EC$18,Table1[The Six Conditions of Systems Change (WORK IN PROGRESS)],'Quant analysis'!$EB21,Table1[Outcome FY],'Quant analysis'!EI$19)</f>
        <v>0</v>
      </c>
      <c r="EJ21" s="129">
        <f t="shared" ref="EJ21:EJ25" si="15">SUM(EC21:EI21)</f>
        <v>0</v>
      </c>
      <c r="EK21" s="130"/>
      <c r="EL21" s="130"/>
      <c r="EM21" s="129" t="s">
        <v>11</v>
      </c>
      <c r="EN21" s="129">
        <f>COUNTIFS(Table1[Country/ Region/ Global],'Quant analysis'!$EN$18,Table1[The Six Conditions of Systems Change (WORK IN PROGRESS)],'Quant analysis'!$EB21,Table1[Outcome FY],'Quant analysis'!EN$19)</f>
        <v>0</v>
      </c>
      <c r="EO21" s="129">
        <f>COUNTIFS(Table1[Country/ Region/ Global],'Quant analysis'!$EN$18,Table1[The Six Conditions of Systems Change (WORK IN PROGRESS)],'Quant analysis'!$EB21,Table1[Outcome FY],'Quant analysis'!EO$19)</f>
        <v>0</v>
      </c>
      <c r="EP21" s="129">
        <f>COUNTIFS(Table1[Country/ Region/ Global],'Quant analysis'!$EN$18,Table1[The Six Conditions of Systems Change (WORK IN PROGRESS)],'Quant analysis'!$EB21,Table1[Outcome FY],'Quant analysis'!EP$19)</f>
        <v>0</v>
      </c>
      <c r="EQ21" s="129">
        <f>COUNTIFS(Table1[Country/ Region/ Global],'Quant analysis'!$EN$18,Table1[The Six Conditions of Systems Change (WORK IN PROGRESS)],'Quant analysis'!$EB21,Table1[Outcome FY],'Quant analysis'!EQ$19)</f>
        <v>0</v>
      </c>
      <c r="ER21" s="129">
        <f>COUNTIFS(Table1[Country/ Region/ Global],'Quant analysis'!$EN$18,Table1[The Six Conditions of Systems Change (WORK IN PROGRESS)],'Quant analysis'!$EB21,Table1[Outcome FY],'Quant analysis'!ER$19)</f>
        <v>0</v>
      </c>
      <c r="ES21" s="129">
        <f>COUNTIFS(Table1[Country/ Region/ Global],'Quant analysis'!$EN$18,Table1[The Six Conditions of Systems Change (WORK IN PROGRESS)],'Quant analysis'!$EB21,Table1[Outcome FY],'Quant analysis'!ES$19)</f>
        <v>0</v>
      </c>
      <c r="ET21" s="129">
        <f>COUNTIFS(Table1[Country/ Region/ Global],'Quant analysis'!$EN$18,Table1[The Six Conditions of Systems Change (WORK IN PROGRESS)],'Quant analysis'!$EB21,Table1[Outcome FY],'Quant analysis'!ET$19)</f>
        <v>0</v>
      </c>
      <c r="EU21" s="129">
        <f t="shared" ref="EU21:EU25" si="16">SUM(EN21:ET21)</f>
        <v>0</v>
      </c>
      <c r="EV21" s="130"/>
      <c r="EW21" s="129" t="s">
        <v>11</v>
      </c>
      <c r="EX21" s="129">
        <f>COUNTIFS(Table1[Country/ Region/ Global],'Quant analysis'!$EX$18,Table1[The Six Conditions of Systems Change (WORK IN PROGRESS)],'Quant analysis'!$EB21,Table1[Outcome FY],'Quant analysis'!EX$19)</f>
        <v>0</v>
      </c>
      <c r="EY21" s="129">
        <f>COUNTIFS(Table1[Country/ Region/ Global],'Quant analysis'!$EX$18,Table1[The Six Conditions of Systems Change (WORK IN PROGRESS)],'Quant analysis'!$EB21,Table1[Outcome FY],'Quant analysis'!EY$19)</f>
        <v>0</v>
      </c>
      <c r="EZ21" s="129">
        <f>COUNTIFS(Table1[Country/ Region/ Global],'Quant analysis'!$EX$18,Table1[The Six Conditions of Systems Change (WORK IN PROGRESS)],'Quant analysis'!$EB21,Table1[Outcome FY],'Quant analysis'!EZ$19)</f>
        <v>0</v>
      </c>
      <c r="FA21" s="129">
        <f>COUNTIFS(Table1[Country/ Region/ Global],'Quant analysis'!$EX$18,Table1[The Six Conditions of Systems Change (WORK IN PROGRESS)],'Quant analysis'!$EB21,Table1[Outcome FY],'Quant analysis'!FA$19)</f>
        <v>0</v>
      </c>
      <c r="FB21" s="129">
        <f>COUNTIFS(Table1[Country/ Region/ Global],'Quant analysis'!$EX$18,Table1[The Six Conditions of Systems Change (WORK IN PROGRESS)],'Quant analysis'!$EB21,Table1[Outcome FY],'Quant analysis'!FB$19)</f>
        <v>0</v>
      </c>
      <c r="FC21" s="129">
        <f>COUNTIFS(Table1[Country/ Region/ Global],'Quant analysis'!$EX$18,Table1[The Six Conditions of Systems Change (WORK IN PROGRESS)],'Quant analysis'!$EB21,Table1[Outcome FY],'Quant analysis'!FC$19)</f>
        <v>0</v>
      </c>
      <c r="FD21" s="129">
        <f>COUNTIFS(Table1[Country/ Region/ Global],'Quant analysis'!$EX$18,Table1[The Six Conditions of Systems Change (WORK IN PROGRESS)],'Quant analysis'!$EB21,Table1[Outcome FY],'Quant analysis'!FD$19)</f>
        <v>0</v>
      </c>
      <c r="FE21" s="129">
        <f t="shared" ref="FE21:FE25" si="17">SUM(EX21:FD21)</f>
        <v>0</v>
      </c>
    </row>
    <row r="22" spans="1:161" x14ac:dyDescent="0.2">
      <c r="A22" s="130"/>
      <c r="B22" s="130"/>
      <c r="C22" s="130"/>
      <c r="D22" s="130"/>
      <c r="E22" s="130"/>
      <c r="F22" s="130"/>
      <c r="G22" s="130"/>
      <c r="H22" s="130"/>
      <c r="I22" s="130"/>
      <c r="J22" s="130"/>
      <c r="K22" s="130"/>
      <c r="L22" s="130"/>
      <c r="M22" s="130"/>
      <c r="N22" s="130"/>
      <c r="O22" s="130"/>
      <c r="P22" s="130"/>
      <c r="Q22" s="130"/>
      <c r="R22" s="130" t="s">
        <v>7</v>
      </c>
      <c r="S22" s="130" t="s">
        <v>236</v>
      </c>
      <c r="T22" s="129" t="s">
        <v>185</v>
      </c>
      <c r="U22" s="129">
        <f>COUNTIF(Outcomes!$L:$L,'Quant analysis'!$T22)</f>
        <v>0</v>
      </c>
      <c r="V22" s="19">
        <f>COUNTIFS(Outcomes!$L:$L,'Quant analysis'!$T22,Outcomes!$Q:$Q,V$1)</f>
        <v>0</v>
      </c>
      <c r="W22" s="19">
        <f>COUNTIFS(Outcomes!$L:$L,'Quant analysis'!$T22,Outcomes!$Q:$Q,W$1)</f>
        <v>0</v>
      </c>
      <c r="X22" s="19">
        <f>COUNTIFS(Outcomes!$L:$L,'Quant analysis'!$T22,Outcomes!$Q:$Q,X$1)</f>
        <v>0</v>
      </c>
      <c r="Y22" s="19">
        <f>COUNTIFS(Outcomes!$L:$L,'Quant analysis'!$T22,Outcomes!$Q:$Q,Y$1)</f>
        <v>0</v>
      </c>
      <c r="Z22" s="19">
        <f>COUNTIFS(Outcomes!$L:$L,'Quant analysis'!$T22,Outcomes!$Q:$Q,Z$1)</f>
        <v>0</v>
      </c>
      <c r="AA22" s="105">
        <f>COUNTIFS(Outcomes!$L:$L,'Quant analysis'!$T22,Outcomes!$Q:$Q,AA$1)</f>
        <v>0</v>
      </c>
      <c r="AB22" s="105">
        <f>COUNTIFS(Outcomes!$L:$L,'Quant analysis'!$T22,Outcomes!$Q:$Q,AB$1)</f>
        <v>0</v>
      </c>
      <c r="AC22" s="105">
        <f>COUNTIFS(Outcomes!$L:$L,'Quant analysis'!$T22,Outcomes!$Q:$Q,AC$1)</f>
        <v>0</v>
      </c>
      <c r="AD22" s="105">
        <f>COUNTIFS(Outcomes!$L:$L,'Quant analysis'!$T22,Outcomes!$Q:$Q,AD$1)</f>
        <v>0</v>
      </c>
      <c r="AE22" s="130">
        <f t="shared" si="0"/>
        <v>0</v>
      </c>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29" t="s">
        <v>263</v>
      </c>
      <c r="BU22" s="129" t="s">
        <v>129</v>
      </c>
      <c r="BV22" s="68">
        <f>COUNTIF(Outcomes!U:Y,'Quant analysis'!BU22)</f>
        <v>0</v>
      </c>
      <c r="BW22" s="19">
        <f>COUNTIFS(Outcomes!$U:$U,'Quant analysis'!$BU22,Outcomes!$Q:$Q,BW$1)+COUNTIFS(Outcomes!$V:$V,'Quant analysis'!$BU22,Outcomes!$Q:$Q,BW$1)+COUNTIFS(Outcomes!$W:$W,'Quant analysis'!$BU22,Outcomes!$Q:$Q,BW$1)+COUNTIFS(Outcomes!$X:$X,'Quant analysis'!$BU22,Outcomes!$Q:$Q,BW$1)+COUNTIFS(Outcomes!$Y:$Y,'Quant analysis'!$BU22,Outcomes!$Q:$Q,BW$1)</f>
        <v>0</v>
      </c>
      <c r="BX22" s="19">
        <f>COUNTIFS(Outcomes!$U:$U,'Quant analysis'!$BU22,Outcomes!$Q:$Q,BX$1)+COUNTIFS(Outcomes!$V:$V,'Quant analysis'!$BU22,Outcomes!$Q:$Q,BX$1)+COUNTIFS(Outcomes!$W:$W,'Quant analysis'!$BU22,Outcomes!$Q:$Q,BX$1)+COUNTIFS(Outcomes!$X:$X,'Quant analysis'!$BU22,Outcomes!$Q:$Q,BX$1)+COUNTIFS(Outcomes!$Y:$Y,'Quant analysis'!$BU22,Outcomes!$Q:$Q,BX$1)</f>
        <v>0</v>
      </c>
      <c r="BY22" s="19">
        <f>COUNTIFS(Outcomes!$U:$U,'Quant analysis'!$BU22,Outcomes!$Q:$Q,BY$1)+COUNTIFS(Outcomes!$V:$V,'Quant analysis'!$BU22,Outcomes!$Q:$Q,BY$1)+COUNTIFS(Outcomes!$W:$W,'Quant analysis'!$BU22,Outcomes!$Q:$Q,BY$1)+COUNTIFS(Outcomes!$X:$X,'Quant analysis'!$BU22,Outcomes!$Q:$Q,BY$1)+COUNTIFS(Outcomes!$Y:$Y,'Quant analysis'!$BU22,Outcomes!$Q:$Q,BY$1)</f>
        <v>0</v>
      </c>
      <c r="BZ22" s="19">
        <f>COUNTIFS(Outcomes!$U:$U,'Quant analysis'!$BU22,Outcomes!$Q:$Q,BZ$1)+COUNTIFS(Outcomes!$V:$V,'Quant analysis'!$BU22,Outcomes!$Q:$Q,BZ$1)+COUNTIFS(Outcomes!$W:$W,'Quant analysis'!$BU22,Outcomes!$Q:$Q,BZ$1)+COUNTIFS(Outcomes!$X:$X,'Quant analysis'!$BU22,Outcomes!$Q:$Q,BZ$1)+COUNTIFS(Outcomes!$Y:$Y,'Quant analysis'!$BU22,Outcomes!$Q:$Q,BZ$1)</f>
        <v>0</v>
      </c>
      <c r="CA22" s="19">
        <f>COUNTIFS(Outcomes!$U:$U,'Quant analysis'!$BU22,Outcomes!$Q:$Q,CA$1)+COUNTIFS(Outcomes!$V:$V,'Quant analysis'!$BU22,Outcomes!$Q:$Q,CA$1)+COUNTIFS(Outcomes!$W:$W,'Quant analysis'!$BU22,Outcomes!$Q:$Q,CA$1)+COUNTIFS(Outcomes!$X:$X,'Quant analysis'!$BU22,Outcomes!$Q:$Q,CA$1)+COUNTIFS(Outcomes!$Y:$Y,'Quant analysis'!$BU22,Outcomes!$Q:$Q,CA$1)</f>
        <v>0</v>
      </c>
      <c r="CB22" s="105">
        <f>COUNTIFS(Outcomes!$U:$U,'Quant analysis'!$BU22,Outcomes!$Q:$Q,CB$1)+COUNTIFS(Outcomes!$V:$V,'Quant analysis'!$BU22,Outcomes!$Q:$Q,CB$1)+COUNTIFS(Outcomes!$W:$W,'Quant analysis'!$BU22,Outcomes!$Q:$Q,CB$1)+COUNTIFS(Outcomes!$X:$X,'Quant analysis'!$BU22,Outcomes!$Q:$Q,CB$1)+COUNTIFS(Outcomes!$Y:$Y,'Quant analysis'!$BU22,Outcomes!$Q:$Q,CB$1)</f>
        <v>0</v>
      </c>
      <c r="CC22" s="105">
        <f>COUNTIFS(Outcomes!$U:$U,'Quant analysis'!$BU22,Outcomes!$Q:$Q,CC$1)+COUNTIFS(Outcomes!$V:$V,'Quant analysis'!$BU22,Outcomes!$Q:$Q,CC$1)+COUNTIFS(Outcomes!$W:$W,'Quant analysis'!$BU22,Outcomes!$Q:$Q,CC$1)+COUNTIFS(Outcomes!$X:$X,'Quant analysis'!$BU22,Outcomes!$Q:$Q,CC$1)+COUNTIFS(Outcomes!$Y:$Y,'Quant analysis'!$BU22,Outcomes!$Q:$Q,CC$1)</f>
        <v>0</v>
      </c>
      <c r="CD22" s="105">
        <f>COUNTIFS(Outcomes!$U:$U,'Quant analysis'!$BU22,Outcomes!$Q:$Q,CD$1)+COUNTIFS(Outcomes!$V:$V,'Quant analysis'!$BU22,Outcomes!$Q:$Q,CD$1)+COUNTIFS(Outcomes!$W:$W,'Quant analysis'!$BU22,Outcomes!$Q:$Q,CD$1)+COUNTIFS(Outcomes!$X:$X,'Quant analysis'!$BU22,Outcomes!$Q:$Q,CD$1)+COUNTIFS(Outcomes!$Y:$Y,'Quant analysis'!$BU22,Outcomes!$Q:$Q,CD$1)</f>
        <v>0</v>
      </c>
      <c r="CE22" s="105">
        <f>COUNTIFS(Outcomes!$U:$U,'Quant analysis'!$BU22,Outcomes!$Q:$Q,CE$1)+COUNTIFS(Outcomes!$V:$V,'Quant analysis'!$BU22,Outcomes!$Q:$Q,CE$1)+COUNTIFS(Outcomes!$W:$W,'Quant analysis'!$BU22,Outcomes!$Q:$Q,CE$1)+COUNTIFS(Outcomes!$X:$X,'Quant analysis'!$BU22,Outcomes!$Q:$Q,CE$1)+COUNTIFS(Outcomes!$Y:$Y,'Quant analysis'!$BU22,Outcomes!$Q:$Q,CE$1)</f>
        <v>0</v>
      </c>
      <c r="CF22" s="129">
        <f t="shared" si="4"/>
        <v>0</v>
      </c>
      <c r="CG22" s="130"/>
      <c r="CH22" s="130"/>
      <c r="CI22" s="130"/>
      <c r="CJ22" s="130"/>
      <c r="CK22" s="130"/>
      <c r="CL22" s="130"/>
      <c r="CM22" s="130"/>
      <c r="CN22" s="130"/>
      <c r="CO22" s="130"/>
      <c r="CP22" s="130"/>
      <c r="CQ22" s="130"/>
      <c r="CR22" s="130"/>
      <c r="CS22" s="130"/>
      <c r="CT22" s="130"/>
      <c r="CU22" s="130"/>
      <c r="CV22" s="131"/>
      <c r="CW22" s="129" t="s">
        <v>13</v>
      </c>
      <c r="CX22" s="129">
        <f>COUNTIFS(Table1[Outcome FY],'Quant analysis'!CX19,Table1[The Six Conditions of Systems Change (WORK IN PROGRESS)],'Quant analysis'!CW22,Table1[Level of influence],"subnational")</f>
        <v>0</v>
      </c>
      <c r="CY22" s="129">
        <f>COUNTIFS(Table1[Outcome FY],'Quant analysis'!CY19,Table1[The Six Conditions of Systems Change (WORK IN PROGRESS)],'Quant analysis'!CW22,Table1[Level of influence],"subnational")</f>
        <v>0</v>
      </c>
      <c r="CZ22" s="129">
        <f>COUNTIFS(Table1[Outcome FY],'Quant analysis'!CZ19,Table1[The Six Conditions of Systems Change (WORK IN PROGRESS)],'Quant analysis'!CW22,Table1[Level of influence],"subnational")</f>
        <v>0</v>
      </c>
      <c r="DA22" s="129">
        <f>COUNTIFS(Table1[Outcome FY],'Quant analysis'!DA19,Table1[The Six Conditions of Systems Change (WORK IN PROGRESS)],'Quant analysis'!CW22,Table1[Level of influence],"subnational")</f>
        <v>0</v>
      </c>
      <c r="DB22" s="129">
        <f>COUNTIFS(Table1[Outcome FY],'Quant analysis'!DB19,Table1[The Six Conditions of Systems Change (WORK IN PROGRESS)],'Quant analysis'!CW22,Table1[Level of influence],"subnational")</f>
        <v>0</v>
      </c>
      <c r="DC22" s="129">
        <f>COUNTIFS(Table1[Outcome FY],'Quant analysis'!DC19,Table1[The Six Conditions of Systems Change (WORK IN PROGRESS)],'Quant analysis'!CW22,Table1[Level of influence],"subnational")</f>
        <v>0</v>
      </c>
      <c r="DD22" s="129">
        <f>COUNTIFS(Table1[Outcome FY],'Quant analysis'!DD19,Table1[The Six Conditions of Systems Change (WORK IN PROGRESS)],'Quant analysis'!CW22,Table1[Level of influence],"subnational")</f>
        <v>0</v>
      </c>
      <c r="DE22" s="129">
        <f t="shared" ref="DE22:DE25" si="18">SUM(CX22:DD22)</f>
        <v>0</v>
      </c>
      <c r="DF22" s="130"/>
      <c r="DG22" s="130"/>
      <c r="DH22" s="129" t="s">
        <v>263</v>
      </c>
      <c r="DI22" s="129" t="s">
        <v>129</v>
      </c>
      <c r="DJ22" s="68">
        <f t="shared" si="7"/>
        <v>0</v>
      </c>
      <c r="DK22" s="19">
        <f>COUNTIFS(Table1[Level of influence],"subnational",Table1[The Six Conditions of Systems Change (WORK IN PROGRESS)],"Policies",Table1[Output contribution 1],'Quant analysis'!DI22)+COUNTIFS(Table1[Level of influence],"subnational",Table1[The Six Conditions of Systems Change (WORK IN PROGRESS)],"Policies",Table1[Output contribution 2],'Quant analysis'!DI22)+COUNTIFS(Table1[Level of influence],"subnational",Table1[The Six Conditions of Systems Change (WORK IN PROGRESS)],"Policies",Table1[Output contribution 3],'Quant analysis'!DI22)+COUNTIFS(Table1[Level of influence],"subnational",Table1[The Six Conditions of Systems Change (WORK IN PROGRESS)],"Policies",Table1[Output contribution 4],'Quant analysis'!DI22)+COUNTIFS(Table1[Level of influence],"subnational",Table1[The Six Conditions of Systems Change (WORK IN PROGRESS)],"Policies",Table1[Output contribution 5],'Quant analysis'!DI22)+COUNTIFS(Table1[Level of influence],"national",Table1[The Six Conditions of Systems Change (WORK IN PROGRESS)],"Policies",Table1[Output contribution 1],'Quant analysis'!DI22)+COUNTIFS(Table1[Level of influence],"national",Table1[The Six Conditions of Systems Change (WORK IN PROGRESS)],"Policies",Table1[Output contribution 2],'Quant analysis'!DI22)+COUNTIFS(Table1[Level of influence],"national",Table1[The Six Conditions of Systems Change (WORK IN PROGRESS)],"Policies",Table1[Output contribution 3],'Quant analysis'!DI22)+COUNTIFS(Table1[Level of influence],"national",Table1[The Six Conditions of Systems Change (WORK IN PROGRESS)],"Policies",Table1[Output contribution 4],'Quant analysis'!DI22)+COUNTIFS(Table1[Level of influence],"national",Table1[The Six Conditions of Systems Change (WORK IN PROGRESS)],"Policies",Table1[Output contribution 5],'Quant analysis'!DI22)</f>
        <v>0</v>
      </c>
      <c r="DL22" s="19">
        <f>COUNTIFS(Table1[Level of influence],"subnational",Table1[The Six Conditions of Systems Change (WORK IN PROGRESS)],"Practices",Table1[Output contribution 1],'Quant analysis'!$DI22)+COUNTIFS(Table1[Level of influence],"subnational",Table1[The Six Conditions of Systems Change (WORK IN PROGRESS)],"Practices",Table1[Output contribution 2],'Quant analysis'!$DI22)+COUNTIFS(Table1[Level of influence],"subnational",Table1[The Six Conditions of Systems Change (WORK IN PROGRESS)],"Practices",Table1[Output contribution 3],'Quant analysis'!$DI22)+COUNTIFS(Table1[Level of influence],"subnational",Table1[The Six Conditions of Systems Change (WORK IN PROGRESS)],"Practices",Table1[Output contribution 4],'Quant analysis'!$DI22)+COUNTIFS(Table1[Level of influence],"subnational",Table1[The Six Conditions of Systems Change (WORK IN PROGRESS)],"Practices",Table1[Output contribution 5],'Quant analysis'!$DI22)+COUNTIFS(Table1[Level of influence],"national",Table1[The Six Conditions of Systems Change (WORK IN PROGRESS)],"Practices",Table1[Output contribution 1],'Quant analysis'!$DI22)+COUNTIFS(Table1[Level of influence],"national",Table1[The Six Conditions of Systems Change (WORK IN PROGRESS)],"Practices",Table1[Output contribution 2],'Quant analysis'!$DI22)+COUNTIFS(Table1[Level of influence],"national",Table1[The Six Conditions of Systems Change (WORK IN PROGRESS)],"Practices",Table1[Output contribution 3],'Quant analysis'!$DI22)+COUNTIFS(Table1[Level of influence],"national",Table1[The Six Conditions of Systems Change (WORK IN PROGRESS)],"Practices",Table1[Output contribution 4],'Quant analysis'!$DI22)+COUNTIFS(Table1[Level of influence],"national",Table1[The Six Conditions of Systems Change (WORK IN PROGRESS)],"Practices",Table1[Output contribution 5],'Quant analysis'!$DI22)</f>
        <v>0</v>
      </c>
      <c r="DM22" s="19">
        <f>COUNTIFS(Table1[Level of influence],"subnational",Table1[The Six Conditions of Systems Change (WORK IN PROGRESS)],DM$1,Table1[Output contribution 1],'Quant analysis'!$DI22)+COUNTIFS(Table1[Level of influence],"subnational",Table1[The Six Conditions of Systems Change (WORK IN PROGRESS)],DM$1,Table1[Output contribution 2],'Quant analysis'!$DI22)+COUNTIFS(Table1[Level of influence],"subnational",Table1[The Six Conditions of Systems Change (WORK IN PROGRESS)],DM$1,Table1[Output contribution 3],'Quant analysis'!$DI22)+COUNTIFS(Table1[Level of influence],"subnational",Table1[The Six Conditions of Systems Change (WORK IN PROGRESS)],DM$1,Table1[Output contribution 4],'Quant analysis'!$DI22)+COUNTIFS(Table1[Level of influence],"subnational",Table1[The Six Conditions of Systems Change (WORK IN PROGRESS)],DM$1,Table1[Output contribution 5],'Quant analysis'!$DI22)+COUNTIFS(Table1[Level of influence],"national",Table1[The Six Conditions of Systems Change (WORK IN PROGRESS)],DM$1,Table1[Output contribution 1],'Quant analysis'!$DI22)+COUNTIFS(Table1[Level of influence],"national",Table1[The Six Conditions of Systems Change (WORK IN PROGRESS)],DM$1,Table1[Output contribution 2],'Quant analysis'!$DI22)+COUNTIFS(Table1[Level of influence],"national",Table1[The Six Conditions of Systems Change (WORK IN PROGRESS)],DM$1,Table1[Output contribution 3],'Quant analysis'!$DI22)+COUNTIFS(Table1[Level of influence],"national",Table1[The Six Conditions of Systems Change (WORK IN PROGRESS)],DM$1,Table1[Output contribution 4],'Quant analysis'!$DI22)+COUNTIFS(Table1[Level of influence],"national",Table1[The Six Conditions of Systems Change (WORK IN PROGRESS)],DM$1,Table1[Output contribution 5],'Quant analysis'!$DI22)</f>
        <v>0</v>
      </c>
      <c r="DN22" s="19">
        <f>COUNTIFS(Table1[Level of influence],"subnational",Table1[The Six Conditions of Systems Change (WORK IN PROGRESS)],DN$1,Table1[Output contribution 1],'Quant analysis'!$DI22)+COUNTIFS(Table1[Level of influence],"subnational",Table1[The Six Conditions of Systems Change (WORK IN PROGRESS)],DN$1,Table1[Output contribution 2],'Quant analysis'!$DI22)+COUNTIFS(Table1[Level of influence],"subnational",Table1[The Six Conditions of Systems Change (WORK IN PROGRESS)],DN$1,Table1[Output contribution 3],'Quant analysis'!$DI22)+COUNTIFS(Table1[Level of influence],"subnational",Table1[The Six Conditions of Systems Change (WORK IN PROGRESS)],DN$1,Table1[Output contribution 4],'Quant analysis'!$DI22)+COUNTIFS(Table1[Level of influence],"subnational",Table1[The Six Conditions of Systems Change (WORK IN PROGRESS)],DN$1,Table1[Output contribution 5],'Quant analysis'!$DI22)+COUNTIFS(Table1[Level of influence],"national",Table1[The Six Conditions of Systems Change (WORK IN PROGRESS)],DN$1,Table1[Output contribution 1],'Quant analysis'!$DI22)+COUNTIFS(Table1[Level of influence],"national",Table1[The Six Conditions of Systems Change (WORK IN PROGRESS)],DN$1,Table1[Output contribution 2],'Quant analysis'!$DI22)+COUNTIFS(Table1[Level of influence],"national",Table1[The Six Conditions of Systems Change (WORK IN PROGRESS)],DN$1,Table1[Output contribution 3],'Quant analysis'!$DI22)+COUNTIFS(Table1[Level of influence],"national",Table1[The Six Conditions of Systems Change (WORK IN PROGRESS)],DN$1,Table1[Output contribution 4],'Quant analysis'!$DI22)+COUNTIFS(Table1[Level of influence],"national",Table1[The Six Conditions of Systems Change (WORK IN PROGRESS)],DN$1,Table1[Output contribution 5],'Quant analysis'!$DI22)</f>
        <v>0</v>
      </c>
      <c r="DO22" s="19">
        <f>COUNTIFS(Table1[Level of influence],"subnational",Table1[The Six Conditions of Systems Change (WORK IN PROGRESS)],DO$1,Table1[Output contribution 1],'Quant analysis'!$DI22)+COUNTIFS(Table1[Level of influence],"subnational",Table1[The Six Conditions of Systems Change (WORK IN PROGRESS)],DO$1,Table1[Output contribution 2],'Quant analysis'!$DI22)+COUNTIFS(Table1[Level of influence],"subnational",Table1[The Six Conditions of Systems Change (WORK IN PROGRESS)],DO$1,Table1[Output contribution 3],'Quant analysis'!$DI22)+COUNTIFS(Table1[Level of influence],"subnational",Table1[The Six Conditions of Systems Change (WORK IN PROGRESS)],DO$1,Table1[Output contribution 4],'Quant analysis'!$DI22)+COUNTIFS(Table1[Level of influence],"subnational",Table1[The Six Conditions of Systems Change (WORK IN PROGRESS)],DO$1,Table1[Output contribution 5],'Quant analysis'!$DI22)+COUNTIFS(Table1[Level of influence],"national",Table1[The Six Conditions of Systems Change (WORK IN PROGRESS)],DO$1,Table1[Output contribution 1],'Quant analysis'!$DI22)+COUNTIFS(Table1[Level of influence],"national",Table1[The Six Conditions of Systems Change (WORK IN PROGRESS)],DO$1,Table1[Output contribution 2],'Quant analysis'!$DI22)+COUNTIFS(Table1[Level of influence],"national",Table1[The Six Conditions of Systems Change (WORK IN PROGRESS)],DO$1,Table1[Output contribution 3],'Quant analysis'!$DI22)+COUNTIFS(Table1[Level of influence],"national",Table1[The Six Conditions of Systems Change (WORK IN PROGRESS)],DO$1,Table1[Output contribution 4],'Quant analysis'!$DI22)+COUNTIFS(Table1[Level of influence],"national",Table1[The Six Conditions of Systems Change (WORK IN PROGRESS)],DO$1,Table1[Output contribution 5],'Quant analysis'!$DI22)</f>
        <v>0</v>
      </c>
      <c r="DP22" s="19">
        <f>COUNTIFS(Table1[Level of influence],"subnational",Table1[The Six Conditions of Systems Change (WORK IN PROGRESS)],DP$1,Table1[Output contribution 1],'Quant analysis'!$DI22)+COUNTIFS(Table1[Level of influence],"subnational",Table1[The Six Conditions of Systems Change (WORK IN PROGRESS)],DP$1,Table1[Output contribution 2],'Quant analysis'!$DI22)+COUNTIFS(Table1[Level of influence],"subnational",Table1[The Six Conditions of Systems Change (WORK IN PROGRESS)],DP$1,Table1[Output contribution 3],'Quant analysis'!$DI22)+COUNTIFS(Table1[Level of influence],"subnational",Table1[The Six Conditions of Systems Change (WORK IN PROGRESS)],DP$1,Table1[Output contribution 4],'Quant analysis'!$DI22)+COUNTIFS(Table1[Level of influence],"subnational",Table1[The Six Conditions of Systems Change (WORK IN PROGRESS)],DP$1,Table1[Output contribution 5],'Quant analysis'!$DI22)+COUNTIFS(Table1[Level of influence],"national",Table1[The Six Conditions of Systems Change (WORK IN PROGRESS)],DP$1,Table1[Output contribution 1],'Quant analysis'!$DI22)+COUNTIFS(Table1[Level of influence],"national",Table1[The Six Conditions of Systems Change (WORK IN PROGRESS)],DP$1,Table1[Output contribution 2],'Quant analysis'!$DI22)+COUNTIFS(Table1[Level of influence],"national",Table1[The Six Conditions of Systems Change (WORK IN PROGRESS)],DP$1,Table1[Output contribution 3],'Quant analysis'!$DI22)+COUNTIFS(Table1[Level of influence],"national",Table1[The Six Conditions of Systems Change (WORK IN PROGRESS)],DP$1,Table1[Output contribution 4],'Quant analysis'!$DI22)+COUNTIFS(Table1[Level of influence],"national",Table1[The Six Conditions of Systems Change (WORK IN PROGRESS)],DP$1,Table1[Output contribution 5],'Quant analysis'!$DI22)</f>
        <v>0</v>
      </c>
      <c r="DQ22" s="130"/>
      <c r="DR22" s="130"/>
      <c r="DS22" s="157" t="s">
        <v>275</v>
      </c>
      <c r="DT22" s="129">
        <f>COUNTIFS(Table1[The Six Conditions of Systems Change (WORK IN PROGRESS)],'Quant analysis'!DT$1,Table1[Level of influence],"subnational",Table1['# of quarters between first contribution statement ],'Quant analysis'!$DS22)+COUNTIFS(Table1[The Six Conditions of Systems Change (WORK IN PROGRESS)],'Quant analysis'!DT$1,Table1[Level of influence],"national",Table1['# of quarters between first contribution statement ],'Quant analysis'!$DS22)</f>
        <v>0</v>
      </c>
      <c r="DU22" s="129">
        <f>COUNTIFS(Table1[The Six Conditions of Systems Change (WORK IN PROGRESS)],'Quant analysis'!DU$1,Table1[Level of influence],"subnational",Table1['# of quarters between first contribution statement ],'Quant analysis'!$DS22)+COUNTIFS(Table1[The Six Conditions of Systems Change (WORK IN PROGRESS)],'Quant analysis'!DU$1,Table1[Level of influence],"national",Table1['# of quarters between first contribution statement ],'Quant analysis'!$DS22)</f>
        <v>0</v>
      </c>
      <c r="DV22" s="129">
        <f>COUNTIFS(Table1[The Six Conditions of Systems Change (WORK IN PROGRESS)],'Quant analysis'!DV$1,Table1[Level of influence],"subnational",Table1['# of quarters between first contribution statement ],'Quant analysis'!$DS22)+COUNTIFS(Table1[The Six Conditions of Systems Change (WORK IN PROGRESS)],'Quant analysis'!DV$1,Table1[Level of influence],"national",Table1['# of quarters between first contribution statement ],'Quant analysis'!$DS22)</f>
        <v>0</v>
      </c>
      <c r="DW22" s="129">
        <f>COUNTIFS(Table1[The Six Conditions of Systems Change (WORK IN PROGRESS)],'Quant analysis'!DW$1,Table1[Level of influence],"subnational",Table1['# of quarters between first contribution statement ],'Quant analysis'!$DS22)+COUNTIFS(Table1[The Six Conditions of Systems Change (WORK IN PROGRESS)],'Quant analysis'!DW$1,Table1[Level of influence],"national",Table1['# of quarters between first contribution statement ],'Quant analysis'!$DS22)</f>
        <v>0</v>
      </c>
      <c r="DX22" s="129">
        <f>COUNTIFS(Table1[The Six Conditions of Systems Change (WORK IN PROGRESS)],'Quant analysis'!DX$1,Table1[Level of influence],"subnational",Table1['# of quarters between first contribution statement ],'Quant analysis'!$DS22)+COUNTIFS(Table1[The Six Conditions of Systems Change (WORK IN PROGRESS)],'Quant analysis'!DX$1,Table1[Level of influence],"national",Table1['# of quarters between first contribution statement ],'Quant analysis'!$DS22)</f>
        <v>0</v>
      </c>
      <c r="DY22" s="129">
        <f>COUNTIFS(Table1[The Six Conditions of Systems Change (WORK IN PROGRESS)],'Quant analysis'!DY$1,Table1[Level of influence],"subnational",Table1['# of quarters between first contribution statement ],'Quant analysis'!$DS22)+COUNTIFS(Table1[The Six Conditions of Systems Change (WORK IN PROGRESS)],'Quant analysis'!DY$1,Table1[Level of influence],"national",Table1['# of quarters between first contribution statement ],'Quant analysis'!$DS22)</f>
        <v>0</v>
      </c>
      <c r="DZ22" s="129"/>
      <c r="EA22" s="130"/>
      <c r="EB22" s="129" t="s">
        <v>13</v>
      </c>
      <c r="EC22" s="129">
        <f>COUNTIFS(Table1[Country/ Region/ Global],'Quant analysis'!$EC$18,Table1[The Six Conditions of Systems Change (WORK IN PROGRESS)],'Quant analysis'!EB22,Table1[Outcome FY],'Quant analysis'!EC$19)</f>
        <v>0</v>
      </c>
      <c r="ED22" s="129">
        <f>COUNTIFS(Table1[Country/ Region/ Global],'Quant analysis'!$EC$18,Table1[The Six Conditions of Systems Change (WORK IN PROGRESS)],'Quant analysis'!EB22,Table1[Outcome FY],'Quant analysis'!ED$19)</f>
        <v>0</v>
      </c>
      <c r="EE22" s="129">
        <f>COUNTIFS(Table1[Country/ Region/ Global],'Quant analysis'!$EC$18,Table1[The Six Conditions of Systems Change (WORK IN PROGRESS)],'Quant analysis'!$EB22,Table1[Outcome FY],'Quant analysis'!EE$19)</f>
        <v>0</v>
      </c>
      <c r="EF22" s="129">
        <f>COUNTIFS(Table1[Country/ Region/ Global],'Quant analysis'!$EC$18,Table1[The Six Conditions of Systems Change (WORK IN PROGRESS)],'Quant analysis'!$EB22,Table1[Outcome FY],'Quant analysis'!EF$19)</f>
        <v>0</v>
      </c>
      <c r="EG22" s="129">
        <f>COUNTIFS(Table1[Country/ Region/ Global],'Quant analysis'!$EC$18,Table1[The Six Conditions of Systems Change (WORK IN PROGRESS)],'Quant analysis'!$EB22,Table1[Outcome FY],'Quant analysis'!EG$19)</f>
        <v>0</v>
      </c>
      <c r="EH22" s="129">
        <f>COUNTIFS(Table1[Country/ Region/ Global],'Quant analysis'!$EC$18,Table1[The Six Conditions of Systems Change (WORK IN PROGRESS)],'Quant analysis'!$EB22,Table1[Outcome FY],'Quant analysis'!EH$19)</f>
        <v>0</v>
      </c>
      <c r="EI22" s="129">
        <f>COUNTIFS(Table1[Country/ Region/ Global],'Quant analysis'!$EC$18,Table1[The Six Conditions of Systems Change (WORK IN PROGRESS)],'Quant analysis'!$EB22,Table1[Outcome FY],'Quant analysis'!EI$19)</f>
        <v>0</v>
      </c>
      <c r="EJ22" s="129">
        <f t="shared" si="15"/>
        <v>0</v>
      </c>
      <c r="EK22" s="130"/>
      <c r="EL22" s="130"/>
      <c r="EM22" s="129" t="s">
        <v>13</v>
      </c>
      <c r="EN22" s="129">
        <f>COUNTIFS(Table1[Country/ Region/ Global],'Quant analysis'!$EN$18,Table1[The Six Conditions of Systems Change (WORK IN PROGRESS)],'Quant analysis'!$EB22,Table1[Outcome FY],'Quant analysis'!EN$19)</f>
        <v>0</v>
      </c>
      <c r="EO22" s="129">
        <f>COUNTIFS(Table1[Country/ Region/ Global],'Quant analysis'!$EN$18,Table1[The Six Conditions of Systems Change (WORK IN PROGRESS)],'Quant analysis'!$EB22,Table1[Outcome FY],'Quant analysis'!EO$19)</f>
        <v>0</v>
      </c>
      <c r="EP22" s="129">
        <f>COUNTIFS(Table1[Country/ Region/ Global],'Quant analysis'!$EN$18,Table1[The Six Conditions of Systems Change (WORK IN PROGRESS)],'Quant analysis'!$EB22,Table1[Outcome FY],'Quant analysis'!EP$19)</f>
        <v>0</v>
      </c>
      <c r="EQ22" s="129">
        <f>COUNTIFS(Table1[Country/ Region/ Global],'Quant analysis'!$EN$18,Table1[The Six Conditions of Systems Change (WORK IN PROGRESS)],'Quant analysis'!$EB22,Table1[Outcome FY],'Quant analysis'!EQ$19)</f>
        <v>0</v>
      </c>
      <c r="ER22" s="129">
        <f>COUNTIFS(Table1[Country/ Region/ Global],'Quant analysis'!$EN$18,Table1[The Six Conditions of Systems Change (WORK IN PROGRESS)],'Quant analysis'!$EB22,Table1[Outcome FY],'Quant analysis'!ER$19)</f>
        <v>0</v>
      </c>
      <c r="ES22" s="129">
        <f>COUNTIFS(Table1[Country/ Region/ Global],'Quant analysis'!$EN$18,Table1[The Six Conditions of Systems Change (WORK IN PROGRESS)],'Quant analysis'!$EB22,Table1[Outcome FY],'Quant analysis'!ES$19)</f>
        <v>0</v>
      </c>
      <c r="ET22" s="129">
        <f>COUNTIFS(Table1[Country/ Region/ Global],'Quant analysis'!$EN$18,Table1[The Six Conditions of Systems Change (WORK IN PROGRESS)],'Quant analysis'!$EB22,Table1[Outcome FY],'Quant analysis'!ET$19)</f>
        <v>0</v>
      </c>
      <c r="EU22" s="129">
        <f t="shared" si="16"/>
        <v>0</v>
      </c>
      <c r="EV22" s="130"/>
      <c r="EW22" s="129" t="s">
        <v>13</v>
      </c>
      <c r="EX22" s="129">
        <f>COUNTIFS(Table1[Country/ Region/ Global],'Quant analysis'!$EX$18,Table1[The Six Conditions of Systems Change (WORK IN PROGRESS)],'Quant analysis'!$EB22,Table1[Outcome FY],'Quant analysis'!EX$19)</f>
        <v>0</v>
      </c>
      <c r="EY22" s="129">
        <f>COUNTIFS(Table1[Country/ Region/ Global],'Quant analysis'!$EX$18,Table1[The Six Conditions of Systems Change (WORK IN PROGRESS)],'Quant analysis'!$EB22,Table1[Outcome FY],'Quant analysis'!EY$19)</f>
        <v>0</v>
      </c>
      <c r="EZ22" s="129">
        <f>COUNTIFS(Table1[Country/ Region/ Global],'Quant analysis'!$EX$18,Table1[The Six Conditions of Systems Change (WORK IN PROGRESS)],'Quant analysis'!$EB22,Table1[Outcome FY],'Quant analysis'!EZ$19)</f>
        <v>0</v>
      </c>
      <c r="FA22" s="129">
        <f>COUNTIFS(Table1[Country/ Region/ Global],'Quant analysis'!$EX$18,Table1[The Six Conditions of Systems Change (WORK IN PROGRESS)],'Quant analysis'!$EB22,Table1[Outcome FY],'Quant analysis'!FA$19)</f>
        <v>0</v>
      </c>
      <c r="FB22" s="129">
        <f>COUNTIFS(Table1[Country/ Region/ Global],'Quant analysis'!$EX$18,Table1[The Six Conditions of Systems Change (WORK IN PROGRESS)],'Quant analysis'!$EB22,Table1[Outcome FY],'Quant analysis'!FB$19)</f>
        <v>0</v>
      </c>
      <c r="FC22" s="129">
        <f>COUNTIFS(Table1[Country/ Region/ Global],'Quant analysis'!$EX$18,Table1[The Six Conditions of Systems Change (WORK IN PROGRESS)],'Quant analysis'!$EB22,Table1[Outcome FY],'Quant analysis'!FC$19)</f>
        <v>0</v>
      </c>
      <c r="FD22" s="129">
        <f>COUNTIFS(Table1[Country/ Region/ Global],'Quant analysis'!$EX$18,Table1[The Six Conditions of Systems Change (WORK IN PROGRESS)],'Quant analysis'!$EB22,Table1[Outcome FY],'Quant analysis'!FD$19)</f>
        <v>0</v>
      </c>
      <c r="FE22" s="129">
        <f t="shared" si="17"/>
        <v>0</v>
      </c>
    </row>
    <row r="23" spans="1:161" x14ac:dyDescent="0.2">
      <c r="A23" s="130"/>
      <c r="B23" s="130"/>
      <c r="C23" s="130"/>
      <c r="D23" s="130"/>
      <c r="E23" s="130"/>
      <c r="F23" s="130"/>
      <c r="G23" s="130"/>
      <c r="H23" s="130"/>
      <c r="I23" s="130"/>
      <c r="J23" s="130"/>
      <c r="K23" s="130"/>
      <c r="L23" s="130"/>
      <c r="M23" s="130"/>
      <c r="N23" s="130"/>
      <c r="O23" s="130"/>
      <c r="P23" s="130"/>
      <c r="Q23" s="130"/>
      <c r="R23" s="130"/>
      <c r="S23" s="130" t="s">
        <v>238</v>
      </c>
      <c r="T23" s="129" t="s">
        <v>186</v>
      </c>
      <c r="U23" s="129">
        <f>COUNTIF(Outcomes!$L:$L,'Quant analysis'!$T23)</f>
        <v>0</v>
      </c>
      <c r="V23" s="19">
        <f>COUNTIFS(Outcomes!$L:$L,'Quant analysis'!$T23,Outcomes!$Q:$Q,V$1)</f>
        <v>0</v>
      </c>
      <c r="W23" s="19">
        <f>COUNTIFS(Outcomes!$L:$L,'Quant analysis'!$T23,Outcomes!$Q:$Q,W$1)</f>
        <v>0</v>
      </c>
      <c r="X23" s="19">
        <f>COUNTIFS(Outcomes!$L:$L,'Quant analysis'!$T23,Outcomes!$Q:$Q,X$1)</f>
        <v>0</v>
      </c>
      <c r="Y23" s="19">
        <f>COUNTIFS(Outcomes!$L:$L,'Quant analysis'!$T23,Outcomes!$Q:$Q,Y$1)</f>
        <v>0</v>
      </c>
      <c r="Z23" s="19">
        <f>COUNTIFS(Outcomes!$L:$L,'Quant analysis'!$T23,Outcomes!$Q:$Q,Z$1)</f>
        <v>0</v>
      </c>
      <c r="AA23" s="105">
        <f>COUNTIFS(Outcomes!$L:$L,'Quant analysis'!$T23,Outcomes!$Q:$Q,AA$1)</f>
        <v>0</v>
      </c>
      <c r="AB23" s="105">
        <f>COUNTIFS(Outcomes!$L:$L,'Quant analysis'!$T23,Outcomes!$Q:$Q,AB$1)</f>
        <v>0</v>
      </c>
      <c r="AC23" s="105">
        <f>COUNTIFS(Outcomes!$L:$L,'Quant analysis'!$T23,Outcomes!$Q:$Q,AC$1)</f>
        <v>0</v>
      </c>
      <c r="AD23" s="105">
        <f>COUNTIFS(Outcomes!$L:$L,'Quant analysis'!$T23,Outcomes!$Q:$Q,AD$1)</f>
        <v>0</v>
      </c>
      <c r="AE23" s="130">
        <f t="shared" si="0"/>
        <v>0</v>
      </c>
      <c r="AF23" s="130"/>
      <c r="AG23" s="130" t="s">
        <v>118</v>
      </c>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29" t="s">
        <v>239</v>
      </c>
      <c r="BU23" s="129" t="s">
        <v>190</v>
      </c>
      <c r="BV23" s="68">
        <f>COUNTIF(Outcomes!U:Y,'Quant analysis'!BU23)</f>
        <v>0</v>
      </c>
      <c r="BW23" s="19">
        <f>COUNTIFS(Outcomes!$U:$U,'Quant analysis'!$BU23,Outcomes!$Q:$Q,BW$1)+COUNTIFS(Outcomes!$V:$V,'Quant analysis'!$BU23,Outcomes!$Q:$Q,BW$1)+COUNTIFS(Outcomes!$W:$W,'Quant analysis'!$BU23,Outcomes!$Q:$Q,BW$1)+COUNTIFS(Outcomes!$X:$X,'Quant analysis'!$BU23,Outcomes!$Q:$Q,BW$1)+COUNTIFS(Outcomes!$Y:$Y,'Quant analysis'!$BU23,Outcomes!$Q:$Q,BW$1)</f>
        <v>0</v>
      </c>
      <c r="BX23" s="19">
        <f>COUNTIFS(Outcomes!$U:$U,'Quant analysis'!$BU23,Outcomes!$Q:$Q,BX$1)+COUNTIFS(Outcomes!$V:$V,'Quant analysis'!$BU23,Outcomes!$Q:$Q,BX$1)+COUNTIFS(Outcomes!$W:$W,'Quant analysis'!$BU23,Outcomes!$Q:$Q,BX$1)+COUNTIFS(Outcomes!$X:$X,'Quant analysis'!$BU23,Outcomes!$Q:$Q,BX$1)+COUNTIFS(Outcomes!$Y:$Y,'Quant analysis'!$BU23,Outcomes!$Q:$Q,BX$1)</f>
        <v>0</v>
      </c>
      <c r="BY23" s="19">
        <f>COUNTIFS(Outcomes!$U:$U,'Quant analysis'!$BU23,Outcomes!$Q:$Q,BY$1)+COUNTIFS(Outcomes!$V:$V,'Quant analysis'!$BU23,Outcomes!$Q:$Q,BY$1)+COUNTIFS(Outcomes!$W:$W,'Quant analysis'!$BU23,Outcomes!$Q:$Q,BY$1)+COUNTIFS(Outcomes!$X:$X,'Quant analysis'!$BU23,Outcomes!$Q:$Q,BY$1)+COUNTIFS(Outcomes!$Y:$Y,'Quant analysis'!$BU23,Outcomes!$Q:$Q,BY$1)</f>
        <v>0</v>
      </c>
      <c r="BZ23" s="19">
        <f>COUNTIFS(Outcomes!$U:$U,'Quant analysis'!$BU23,Outcomes!$Q:$Q,BZ$1)+COUNTIFS(Outcomes!$V:$V,'Quant analysis'!$BU23,Outcomes!$Q:$Q,BZ$1)+COUNTIFS(Outcomes!$W:$W,'Quant analysis'!$BU23,Outcomes!$Q:$Q,BZ$1)+COUNTIFS(Outcomes!$X:$X,'Quant analysis'!$BU23,Outcomes!$Q:$Q,BZ$1)+COUNTIFS(Outcomes!$Y:$Y,'Quant analysis'!$BU23,Outcomes!$Q:$Q,BZ$1)</f>
        <v>0</v>
      </c>
      <c r="CA23" s="19">
        <f>COUNTIFS(Outcomes!$U:$U,'Quant analysis'!$BU23,Outcomes!$Q:$Q,CA$1)+COUNTIFS(Outcomes!$V:$V,'Quant analysis'!$BU23,Outcomes!$Q:$Q,CA$1)+COUNTIFS(Outcomes!$W:$W,'Quant analysis'!$BU23,Outcomes!$Q:$Q,CA$1)+COUNTIFS(Outcomes!$X:$X,'Quant analysis'!$BU23,Outcomes!$Q:$Q,CA$1)+COUNTIFS(Outcomes!$Y:$Y,'Quant analysis'!$BU23,Outcomes!$Q:$Q,CA$1)</f>
        <v>0</v>
      </c>
      <c r="CB23" s="105">
        <f>COUNTIFS(Outcomes!$U:$U,'Quant analysis'!$BU23,Outcomes!$Q:$Q,CB$1)+COUNTIFS(Outcomes!$V:$V,'Quant analysis'!$BU23,Outcomes!$Q:$Q,CB$1)+COUNTIFS(Outcomes!$W:$W,'Quant analysis'!$BU23,Outcomes!$Q:$Q,CB$1)+COUNTIFS(Outcomes!$X:$X,'Quant analysis'!$BU23,Outcomes!$Q:$Q,CB$1)+COUNTIFS(Outcomes!$Y:$Y,'Quant analysis'!$BU23,Outcomes!$Q:$Q,CB$1)</f>
        <v>0</v>
      </c>
      <c r="CC23" s="105">
        <f>COUNTIFS(Outcomes!$U:$U,'Quant analysis'!$BU23,Outcomes!$Q:$Q,CC$1)+COUNTIFS(Outcomes!$V:$V,'Quant analysis'!$BU23,Outcomes!$Q:$Q,CC$1)+COUNTIFS(Outcomes!$W:$W,'Quant analysis'!$BU23,Outcomes!$Q:$Q,CC$1)+COUNTIFS(Outcomes!$X:$X,'Quant analysis'!$BU23,Outcomes!$Q:$Q,CC$1)+COUNTIFS(Outcomes!$Y:$Y,'Quant analysis'!$BU23,Outcomes!$Q:$Q,CC$1)</f>
        <v>0</v>
      </c>
      <c r="CD23" s="105">
        <f>COUNTIFS(Outcomes!$U:$U,'Quant analysis'!$BU23,Outcomes!$Q:$Q,CD$1)+COUNTIFS(Outcomes!$V:$V,'Quant analysis'!$BU23,Outcomes!$Q:$Q,CD$1)+COUNTIFS(Outcomes!$W:$W,'Quant analysis'!$BU23,Outcomes!$Q:$Q,CD$1)+COUNTIFS(Outcomes!$X:$X,'Quant analysis'!$BU23,Outcomes!$Q:$Q,CD$1)+COUNTIFS(Outcomes!$Y:$Y,'Quant analysis'!$BU23,Outcomes!$Q:$Q,CD$1)</f>
        <v>0</v>
      </c>
      <c r="CE23" s="105">
        <f>COUNTIFS(Outcomes!$U:$U,'Quant analysis'!$BU23,Outcomes!$Q:$Q,CE$1)+COUNTIFS(Outcomes!$V:$V,'Quant analysis'!$BU23,Outcomes!$Q:$Q,CE$1)+COUNTIFS(Outcomes!$W:$W,'Quant analysis'!$BU23,Outcomes!$Q:$Q,CE$1)+COUNTIFS(Outcomes!$X:$X,'Quant analysis'!$BU23,Outcomes!$Q:$Q,CE$1)+COUNTIFS(Outcomes!$Y:$Y,'Quant analysis'!$BU23,Outcomes!$Q:$Q,CE$1)</f>
        <v>0</v>
      </c>
      <c r="CF23" s="129">
        <f t="shared" si="4"/>
        <v>0</v>
      </c>
      <c r="CG23" s="130"/>
      <c r="CH23" s="130"/>
      <c r="CI23" s="130"/>
      <c r="CJ23" s="130"/>
      <c r="CK23" s="130"/>
      <c r="CL23" s="130"/>
      <c r="CM23" s="130"/>
      <c r="CN23" s="130"/>
      <c r="CO23" s="130"/>
      <c r="CP23" s="130"/>
      <c r="CQ23" s="130"/>
      <c r="CR23" s="130"/>
      <c r="CS23" s="130"/>
      <c r="CT23" s="130"/>
      <c r="CU23" s="130"/>
      <c r="CV23" s="131"/>
      <c r="CW23" s="129" t="s">
        <v>12</v>
      </c>
      <c r="CX23" s="129">
        <f>COUNTIFS(Table1[Outcome FY],'Quant analysis'!CX19,Table1[The Six Conditions of Systems Change (WORK IN PROGRESS)],'Quant analysis'!CW23,Table1[Level of influence],"subnational")</f>
        <v>0</v>
      </c>
      <c r="CY23" s="129">
        <f>COUNTIFS(Table1[Outcome FY],'Quant analysis'!CY19,Table1[The Six Conditions of Systems Change (WORK IN PROGRESS)],'Quant analysis'!CW23,Table1[Level of influence],"subnational")</f>
        <v>0</v>
      </c>
      <c r="CZ23" s="129">
        <f>COUNTIFS(Table1[Outcome FY],'Quant analysis'!CZ19,Table1[The Six Conditions of Systems Change (WORK IN PROGRESS)],'Quant analysis'!CW23,Table1[Level of influence],"subnational")</f>
        <v>0</v>
      </c>
      <c r="DA23" s="129">
        <f>COUNTIFS(Table1[Outcome FY],'Quant analysis'!DA19,Table1[The Six Conditions of Systems Change (WORK IN PROGRESS)],'Quant analysis'!CW23,Table1[Level of influence],"subnational")</f>
        <v>0</v>
      </c>
      <c r="DB23" s="129">
        <f>COUNTIFS(Table1[Outcome FY],'Quant analysis'!DB19,Table1[The Six Conditions of Systems Change (WORK IN PROGRESS)],'Quant analysis'!CW23,Table1[Level of influence],"subnational")</f>
        <v>0</v>
      </c>
      <c r="DC23" s="129">
        <f>COUNTIFS(Table1[Outcome FY],'Quant analysis'!DC19,Table1[The Six Conditions of Systems Change (WORK IN PROGRESS)],'Quant analysis'!CW23,Table1[Level of influence],"subnational")</f>
        <v>0</v>
      </c>
      <c r="DD23" s="129">
        <f>COUNTIFS(Table1[Outcome FY],'Quant analysis'!DD19,Table1[The Six Conditions of Systems Change (WORK IN PROGRESS)],'Quant analysis'!CW23,Table1[Level of influence],"subnational")</f>
        <v>0</v>
      </c>
      <c r="DE23" s="129">
        <f t="shared" si="18"/>
        <v>0</v>
      </c>
      <c r="DF23" s="130"/>
      <c r="DG23" s="130"/>
      <c r="DH23" s="129" t="s">
        <v>239</v>
      </c>
      <c r="DI23" s="129" t="s">
        <v>190</v>
      </c>
      <c r="DJ23" s="68">
        <f t="shared" si="7"/>
        <v>0</v>
      </c>
      <c r="DK23" s="19">
        <f>COUNTIFS(Table1[Level of influence],"subnational",Table1[The Six Conditions of Systems Change (WORK IN PROGRESS)],"Policies",Table1[Output contribution 1],'Quant analysis'!DI23)+COUNTIFS(Table1[Level of influence],"subnational",Table1[The Six Conditions of Systems Change (WORK IN PROGRESS)],"Policies",Table1[Output contribution 2],'Quant analysis'!DI23)+COUNTIFS(Table1[Level of influence],"subnational",Table1[The Six Conditions of Systems Change (WORK IN PROGRESS)],"Policies",Table1[Output contribution 3],'Quant analysis'!DI23)+COUNTIFS(Table1[Level of influence],"subnational",Table1[The Six Conditions of Systems Change (WORK IN PROGRESS)],"Policies",Table1[Output contribution 4],'Quant analysis'!DI23)+COUNTIFS(Table1[Level of influence],"subnational",Table1[The Six Conditions of Systems Change (WORK IN PROGRESS)],"Policies",Table1[Output contribution 5],'Quant analysis'!DI23)+COUNTIFS(Table1[Level of influence],"national",Table1[The Six Conditions of Systems Change (WORK IN PROGRESS)],"Policies",Table1[Output contribution 1],'Quant analysis'!DI23)+COUNTIFS(Table1[Level of influence],"national",Table1[The Six Conditions of Systems Change (WORK IN PROGRESS)],"Policies",Table1[Output contribution 2],'Quant analysis'!DI23)+COUNTIFS(Table1[Level of influence],"national",Table1[The Six Conditions of Systems Change (WORK IN PROGRESS)],"Policies",Table1[Output contribution 3],'Quant analysis'!DI23)+COUNTIFS(Table1[Level of influence],"national",Table1[The Six Conditions of Systems Change (WORK IN PROGRESS)],"Policies",Table1[Output contribution 4],'Quant analysis'!DI23)+COUNTIFS(Table1[Level of influence],"national",Table1[The Six Conditions of Systems Change (WORK IN PROGRESS)],"Policies",Table1[Output contribution 5],'Quant analysis'!DI23)</f>
        <v>0</v>
      </c>
      <c r="DL23" s="19">
        <f>COUNTIFS(Table1[Level of influence],"subnational",Table1[The Six Conditions of Systems Change (WORK IN PROGRESS)],"Practices",Table1[Output contribution 1],'Quant analysis'!$DI23)+COUNTIFS(Table1[Level of influence],"subnational",Table1[The Six Conditions of Systems Change (WORK IN PROGRESS)],"Practices",Table1[Output contribution 2],'Quant analysis'!$DI23)+COUNTIFS(Table1[Level of influence],"subnational",Table1[The Six Conditions of Systems Change (WORK IN PROGRESS)],"Practices",Table1[Output contribution 3],'Quant analysis'!$DI23)+COUNTIFS(Table1[Level of influence],"subnational",Table1[The Six Conditions of Systems Change (WORK IN PROGRESS)],"Practices",Table1[Output contribution 4],'Quant analysis'!$DI23)+COUNTIFS(Table1[Level of influence],"subnational",Table1[The Six Conditions of Systems Change (WORK IN PROGRESS)],"Practices",Table1[Output contribution 5],'Quant analysis'!$DI23)+COUNTIFS(Table1[Level of influence],"national",Table1[The Six Conditions of Systems Change (WORK IN PROGRESS)],"Practices",Table1[Output contribution 1],'Quant analysis'!$DI23)+COUNTIFS(Table1[Level of influence],"national",Table1[The Six Conditions of Systems Change (WORK IN PROGRESS)],"Practices",Table1[Output contribution 2],'Quant analysis'!$DI23)+COUNTIFS(Table1[Level of influence],"national",Table1[The Six Conditions of Systems Change (WORK IN PROGRESS)],"Practices",Table1[Output contribution 3],'Quant analysis'!$DI23)+COUNTIFS(Table1[Level of influence],"national",Table1[The Six Conditions of Systems Change (WORK IN PROGRESS)],"Practices",Table1[Output contribution 4],'Quant analysis'!$DI23)+COUNTIFS(Table1[Level of influence],"national",Table1[The Six Conditions of Systems Change (WORK IN PROGRESS)],"Practices",Table1[Output contribution 5],'Quant analysis'!$DI23)</f>
        <v>0</v>
      </c>
      <c r="DM23" s="19">
        <f>COUNTIFS(Table1[Level of influence],"subnational",Table1[The Six Conditions of Systems Change (WORK IN PROGRESS)],DM$1,Table1[Output contribution 1],'Quant analysis'!$DI23)+COUNTIFS(Table1[Level of influence],"subnational",Table1[The Six Conditions of Systems Change (WORK IN PROGRESS)],DM$1,Table1[Output contribution 2],'Quant analysis'!$DI23)+COUNTIFS(Table1[Level of influence],"subnational",Table1[The Six Conditions of Systems Change (WORK IN PROGRESS)],DM$1,Table1[Output contribution 3],'Quant analysis'!$DI23)+COUNTIFS(Table1[Level of influence],"subnational",Table1[The Six Conditions of Systems Change (WORK IN PROGRESS)],DM$1,Table1[Output contribution 4],'Quant analysis'!$DI23)+COUNTIFS(Table1[Level of influence],"subnational",Table1[The Six Conditions of Systems Change (WORK IN PROGRESS)],DM$1,Table1[Output contribution 5],'Quant analysis'!$DI23)+COUNTIFS(Table1[Level of influence],"national",Table1[The Six Conditions of Systems Change (WORK IN PROGRESS)],DM$1,Table1[Output contribution 1],'Quant analysis'!$DI23)+COUNTIFS(Table1[Level of influence],"national",Table1[The Six Conditions of Systems Change (WORK IN PROGRESS)],DM$1,Table1[Output contribution 2],'Quant analysis'!$DI23)+COUNTIFS(Table1[Level of influence],"national",Table1[The Six Conditions of Systems Change (WORK IN PROGRESS)],DM$1,Table1[Output contribution 3],'Quant analysis'!$DI23)+COUNTIFS(Table1[Level of influence],"national",Table1[The Six Conditions of Systems Change (WORK IN PROGRESS)],DM$1,Table1[Output contribution 4],'Quant analysis'!$DI23)+COUNTIFS(Table1[Level of influence],"national",Table1[The Six Conditions of Systems Change (WORK IN PROGRESS)],DM$1,Table1[Output contribution 5],'Quant analysis'!$DI23)</f>
        <v>0</v>
      </c>
      <c r="DN23" s="19">
        <f>COUNTIFS(Table1[Level of influence],"subnational",Table1[The Six Conditions of Systems Change (WORK IN PROGRESS)],DN$1,Table1[Output contribution 1],'Quant analysis'!$DI23)+COUNTIFS(Table1[Level of influence],"subnational",Table1[The Six Conditions of Systems Change (WORK IN PROGRESS)],DN$1,Table1[Output contribution 2],'Quant analysis'!$DI23)+COUNTIFS(Table1[Level of influence],"subnational",Table1[The Six Conditions of Systems Change (WORK IN PROGRESS)],DN$1,Table1[Output contribution 3],'Quant analysis'!$DI23)+COUNTIFS(Table1[Level of influence],"subnational",Table1[The Six Conditions of Systems Change (WORK IN PROGRESS)],DN$1,Table1[Output contribution 4],'Quant analysis'!$DI23)+COUNTIFS(Table1[Level of influence],"subnational",Table1[The Six Conditions of Systems Change (WORK IN PROGRESS)],DN$1,Table1[Output contribution 5],'Quant analysis'!$DI23)+COUNTIFS(Table1[Level of influence],"national",Table1[The Six Conditions of Systems Change (WORK IN PROGRESS)],DN$1,Table1[Output contribution 1],'Quant analysis'!$DI23)+COUNTIFS(Table1[Level of influence],"national",Table1[The Six Conditions of Systems Change (WORK IN PROGRESS)],DN$1,Table1[Output contribution 2],'Quant analysis'!$DI23)+COUNTIFS(Table1[Level of influence],"national",Table1[The Six Conditions of Systems Change (WORK IN PROGRESS)],DN$1,Table1[Output contribution 3],'Quant analysis'!$DI23)+COUNTIFS(Table1[Level of influence],"national",Table1[The Six Conditions of Systems Change (WORK IN PROGRESS)],DN$1,Table1[Output contribution 4],'Quant analysis'!$DI23)+COUNTIFS(Table1[Level of influence],"national",Table1[The Six Conditions of Systems Change (WORK IN PROGRESS)],DN$1,Table1[Output contribution 5],'Quant analysis'!$DI23)</f>
        <v>0</v>
      </c>
      <c r="DO23" s="19">
        <f>COUNTIFS(Table1[Level of influence],"subnational",Table1[The Six Conditions of Systems Change (WORK IN PROGRESS)],DO$1,Table1[Output contribution 1],'Quant analysis'!$DI23)+COUNTIFS(Table1[Level of influence],"subnational",Table1[The Six Conditions of Systems Change (WORK IN PROGRESS)],DO$1,Table1[Output contribution 2],'Quant analysis'!$DI23)+COUNTIFS(Table1[Level of influence],"subnational",Table1[The Six Conditions of Systems Change (WORK IN PROGRESS)],DO$1,Table1[Output contribution 3],'Quant analysis'!$DI23)+COUNTIFS(Table1[Level of influence],"subnational",Table1[The Six Conditions of Systems Change (WORK IN PROGRESS)],DO$1,Table1[Output contribution 4],'Quant analysis'!$DI23)+COUNTIFS(Table1[Level of influence],"subnational",Table1[The Six Conditions of Systems Change (WORK IN PROGRESS)],DO$1,Table1[Output contribution 5],'Quant analysis'!$DI23)+COUNTIFS(Table1[Level of influence],"national",Table1[The Six Conditions of Systems Change (WORK IN PROGRESS)],DO$1,Table1[Output contribution 1],'Quant analysis'!$DI23)+COUNTIFS(Table1[Level of influence],"national",Table1[The Six Conditions of Systems Change (WORK IN PROGRESS)],DO$1,Table1[Output contribution 2],'Quant analysis'!$DI23)+COUNTIFS(Table1[Level of influence],"national",Table1[The Six Conditions of Systems Change (WORK IN PROGRESS)],DO$1,Table1[Output contribution 3],'Quant analysis'!$DI23)+COUNTIFS(Table1[Level of influence],"national",Table1[The Six Conditions of Systems Change (WORK IN PROGRESS)],DO$1,Table1[Output contribution 4],'Quant analysis'!$DI23)+COUNTIFS(Table1[Level of influence],"national",Table1[The Six Conditions of Systems Change (WORK IN PROGRESS)],DO$1,Table1[Output contribution 5],'Quant analysis'!$DI23)</f>
        <v>0</v>
      </c>
      <c r="DP23" s="19">
        <f>COUNTIFS(Table1[Level of influence],"subnational",Table1[The Six Conditions of Systems Change (WORK IN PROGRESS)],DP$1,Table1[Output contribution 1],'Quant analysis'!$DI23)+COUNTIFS(Table1[Level of influence],"subnational",Table1[The Six Conditions of Systems Change (WORK IN PROGRESS)],DP$1,Table1[Output contribution 2],'Quant analysis'!$DI23)+COUNTIFS(Table1[Level of influence],"subnational",Table1[The Six Conditions of Systems Change (WORK IN PROGRESS)],DP$1,Table1[Output contribution 3],'Quant analysis'!$DI23)+COUNTIFS(Table1[Level of influence],"subnational",Table1[The Six Conditions of Systems Change (WORK IN PROGRESS)],DP$1,Table1[Output contribution 4],'Quant analysis'!$DI23)+COUNTIFS(Table1[Level of influence],"subnational",Table1[The Six Conditions of Systems Change (WORK IN PROGRESS)],DP$1,Table1[Output contribution 5],'Quant analysis'!$DI23)+COUNTIFS(Table1[Level of influence],"national",Table1[The Six Conditions of Systems Change (WORK IN PROGRESS)],DP$1,Table1[Output contribution 1],'Quant analysis'!$DI23)+COUNTIFS(Table1[Level of influence],"national",Table1[The Six Conditions of Systems Change (WORK IN PROGRESS)],DP$1,Table1[Output contribution 2],'Quant analysis'!$DI23)+COUNTIFS(Table1[Level of influence],"national",Table1[The Six Conditions of Systems Change (WORK IN PROGRESS)],DP$1,Table1[Output contribution 3],'Quant analysis'!$DI23)+COUNTIFS(Table1[Level of influence],"national",Table1[The Six Conditions of Systems Change (WORK IN PROGRESS)],DP$1,Table1[Output contribution 4],'Quant analysis'!$DI23)+COUNTIFS(Table1[Level of influence],"national",Table1[The Six Conditions of Systems Change (WORK IN PROGRESS)],DP$1,Table1[Output contribution 5],'Quant analysis'!$DI23)</f>
        <v>0</v>
      </c>
      <c r="DQ23" s="130"/>
      <c r="DR23" s="130"/>
      <c r="DS23" s="157" t="s">
        <v>276</v>
      </c>
      <c r="DT23" s="129">
        <f>COUNTIFS(Table1[The Six Conditions of Systems Change (WORK IN PROGRESS)],'Quant analysis'!DT$1,Table1[Level of influence],"subnational",Table1['# of quarters between first contribution statement ],'Quant analysis'!$DS23)+COUNTIFS(Table1[The Six Conditions of Systems Change (WORK IN PROGRESS)],'Quant analysis'!DT$1,Table1[Level of influence],"national",Table1['# of quarters between first contribution statement ],'Quant analysis'!$DS23)</f>
        <v>0</v>
      </c>
      <c r="DU23" s="129">
        <f>COUNTIFS(Table1[The Six Conditions of Systems Change (WORK IN PROGRESS)],'Quant analysis'!DU$1,Table1[Level of influence],"subnational",Table1['# of quarters between first contribution statement ],'Quant analysis'!$DS23)+COUNTIFS(Table1[The Six Conditions of Systems Change (WORK IN PROGRESS)],'Quant analysis'!DU$1,Table1[Level of influence],"national",Table1['# of quarters between first contribution statement ],'Quant analysis'!$DS23)</f>
        <v>0</v>
      </c>
      <c r="DV23" s="129">
        <f>COUNTIFS(Table1[The Six Conditions of Systems Change (WORK IN PROGRESS)],'Quant analysis'!DV$1,Table1[Level of influence],"subnational",Table1['# of quarters between first contribution statement ],'Quant analysis'!$DS23)+COUNTIFS(Table1[The Six Conditions of Systems Change (WORK IN PROGRESS)],'Quant analysis'!DV$1,Table1[Level of influence],"national",Table1['# of quarters between first contribution statement ],'Quant analysis'!$DS23)</f>
        <v>0</v>
      </c>
      <c r="DW23" s="129">
        <f>COUNTIFS(Table1[The Six Conditions of Systems Change (WORK IN PROGRESS)],'Quant analysis'!DW$1,Table1[Level of influence],"subnational",Table1['# of quarters between first contribution statement ],'Quant analysis'!$DS23)+COUNTIFS(Table1[The Six Conditions of Systems Change (WORK IN PROGRESS)],'Quant analysis'!DW$1,Table1[Level of influence],"national",Table1['# of quarters between first contribution statement ],'Quant analysis'!$DS23)</f>
        <v>0</v>
      </c>
      <c r="DX23" s="129">
        <f>COUNTIFS(Table1[The Six Conditions of Systems Change (WORK IN PROGRESS)],'Quant analysis'!DX$1,Table1[Level of influence],"subnational",Table1['# of quarters between first contribution statement ],'Quant analysis'!$DS23)+COUNTIFS(Table1[The Six Conditions of Systems Change (WORK IN PROGRESS)],'Quant analysis'!DX$1,Table1[Level of influence],"national",Table1['# of quarters between first contribution statement ],'Quant analysis'!$DS23)</f>
        <v>0</v>
      </c>
      <c r="DY23" s="129">
        <f>COUNTIFS(Table1[The Six Conditions of Systems Change (WORK IN PROGRESS)],'Quant analysis'!DY$1,Table1[Level of influence],"subnational",Table1['# of quarters between first contribution statement ],'Quant analysis'!$DS23)+COUNTIFS(Table1[The Six Conditions of Systems Change (WORK IN PROGRESS)],'Quant analysis'!DY$1,Table1[Level of influence],"national",Table1['# of quarters between first contribution statement ],'Quant analysis'!$DS23)</f>
        <v>0</v>
      </c>
      <c r="DZ23" s="129"/>
      <c r="EA23" s="130"/>
      <c r="EB23" s="129" t="s">
        <v>12</v>
      </c>
      <c r="EC23" s="129">
        <f>COUNTIFS(Table1[Country/ Region/ Global],'Quant analysis'!$EC$18,Table1[The Six Conditions of Systems Change (WORK IN PROGRESS)],'Quant analysis'!EB23,Table1[Outcome FY],'Quant analysis'!EC$19)</f>
        <v>0</v>
      </c>
      <c r="ED23" s="129">
        <f>COUNTIFS(Table1[Country/ Region/ Global],'Quant analysis'!$EC$18,Table1[The Six Conditions of Systems Change (WORK IN PROGRESS)],'Quant analysis'!EB23,Table1[Outcome FY],'Quant analysis'!ED$19)</f>
        <v>0</v>
      </c>
      <c r="EE23" s="129">
        <f>COUNTIFS(Table1[Country/ Region/ Global],'Quant analysis'!$EC$18,Table1[The Six Conditions of Systems Change (WORK IN PROGRESS)],'Quant analysis'!$EB23,Table1[Outcome FY],'Quant analysis'!EE$19)</f>
        <v>0</v>
      </c>
      <c r="EF23" s="129">
        <f>COUNTIFS(Table1[Country/ Region/ Global],'Quant analysis'!$EC$18,Table1[The Six Conditions of Systems Change (WORK IN PROGRESS)],'Quant analysis'!$EB23,Table1[Outcome FY],'Quant analysis'!EF$19)</f>
        <v>0</v>
      </c>
      <c r="EG23" s="129">
        <f>COUNTIFS(Table1[Country/ Region/ Global],'Quant analysis'!$EC$18,Table1[The Six Conditions of Systems Change (WORK IN PROGRESS)],'Quant analysis'!$EB23,Table1[Outcome FY],'Quant analysis'!EG$19)</f>
        <v>0</v>
      </c>
      <c r="EH23" s="129">
        <f>COUNTIFS(Table1[Country/ Region/ Global],'Quant analysis'!$EC$18,Table1[The Six Conditions of Systems Change (WORK IN PROGRESS)],'Quant analysis'!$EB23,Table1[Outcome FY],'Quant analysis'!EH$19)</f>
        <v>0</v>
      </c>
      <c r="EI23" s="129">
        <f>COUNTIFS(Table1[Country/ Region/ Global],'Quant analysis'!$EC$18,Table1[The Six Conditions of Systems Change (WORK IN PROGRESS)],'Quant analysis'!$EB23,Table1[Outcome FY],'Quant analysis'!EI$19)</f>
        <v>0</v>
      </c>
      <c r="EJ23" s="129">
        <f t="shared" si="15"/>
        <v>0</v>
      </c>
      <c r="EK23" s="130"/>
      <c r="EL23" s="130"/>
      <c r="EM23" s="129" t="s">
        <v>12</v>
      </c>
      <c r="EN23" s="129">
        <f>COUNTIFS(Table1[Country/ Region/ Global],'Quant analysis'!$EN$18,Table1[The Six Conditions of Systems Change (WORK IN PROGRESS)],'Quant analysis'!$EB23,Table1[Outcome FY],'Quant analysis'!EN$19)</f>
        <v>0</v>
      </c>
      <c r="EO23" s="129">
        <f>COUNTIFS(Table1[Country/ Region/ Global],'Quant analysis'!$EN$18,Table1[The Six Conditions of Systems Change (WORK IN PROGRESS)],'Quant analysis'!$EB23,Table1[Outcome FY],'Quant analysis'!EO$19)</f>
        <v>0</v>
      </c>
      <c r="EP23" s="129">
        <f>COUNTIFS(Table1[Country/ Region/ Global],'Quant analysis'!$EN$18,Table1[The Six Conditions of Systems Change (WORK IN PROGRESS)],'Quant analysis'!$EB23,Table1[Outcome FY],'Quant analysis'!EP$19)</f>
        <v>0</v>
      </c>
      <c r="EQ23" s="129">
        <f>COUNTIFS(Table1[Country/ Region/ Global],'Quant analysis'!$EN$18,Table1[The Six Conditions of Systems Change (WORK IN PROGRESS)],'Quant analysis'!$EB23,Table1[Outcome FY],'Quant analysis'!EQ$19)</f>
        <v>0</v>
      </c>
      <c r="ER23" s="129">
        <f>COUNTIFS(Table1[Country/ Region/ Global],'Quant analysis'!$EN$18,Table1[The Six Conditions of Systems Change (WORK IN PROGRESS)],'Quant analysis'!$EB23,Table1[Outcome FY],'Quant analysis'!ER$19)</f>
        <v>0</v>
      </c>
      <c r="ES23" s="129">
        <f>COUNTIFS(Table1[Country/ Region/ Global],'Quant analysis'!$EN$18,Table1[The Six Conditions of Systems Change (WORK IN PROGRESS)],'Quant analysis'!$EB23,Table1[Outcome FY],'Quant analysis'!ES$19)</f>
        <v>0</v>
      </c>
      <c r="ET23" s="129">
        <f>COUNTIFS(Table1[Country/ Region/ Global],'Quant analysis'!$EN$18,Table1[The Six Conditions of Systems Change (WORK IN PROGRESS)],'Quant analysis'!$EB23,Table1[Outcome FY],'Quant analysis'!ET$19)</f>
        <v>0</v>
      </c>
      <c r="EU23" s="129">
        <f t="shared" si="16"/>
        <v>0</v>
      </c>
      <c r="EV23" s="130"/>
      <c r="EW23" s="129" t="s">
        <v>12</v>
      </c>
      <c r="EX23" s="129">
        <f>COUNTIFS(Table1[Country/ Region/ Global],'Quant analysis'!$EX$18,Table1[The Six Conditions of Systems Change (WORK IN PROGRESS)],'Quant analysis'!$EB23,Table1[Outcome FY],'Quant analysis'!EX$19)</f>
        <v>0</v>
      </c>
      <c r="EY23" s="129">
        <f>COUNTIFS(Table1[Country/ Region/ Global],'Quant analysis'!$EX$18,Table1[The Six Conditions of Systems Change (WORK IN PROGRESS)],'Quant analysis'!$EB23,Table1[Outcome FY],'Quant analysis'!EY$19)</f>
        <v>0</v>
      </c>
      <c r="EZ23" s="129">
        <f>COUNTIFS(Table1[Country/ Region/ Global],'Quant analysis'!$EX$18,Table1[The Six Conditions of Systems Change (WORK IN PROGRESS)],'Quant analysis'!$EB23,Table1[Outcome FY],'Quant analysis'!EZ$19)</f>
        <v>0</v>
      </c>
      <c r="FA23" s="129">
        <f>COUNTIFS(Table1[Country/ Region/ Global],'Quant analysis'!$EX$18,Table1[The Six Conditions of Systems Change (WORK IN PROGRESS)],'Quant analysis'!$EB23,Table1[Outcome FY],'Quant analysis'!FA$19)</f>
        <v>0</v>
      </c>
      <c r="FB23" s="129">
        <f>COUNTIFS(Table1[Country/ Region/ Global],'Quant analysis'!$EX$18,Table1[The Six Conditions of Systems Change (WORK IN PROGRESS)],'Quant analysis'!$EB23,Table1[Outcome FY],'Quant analysis'!FB$19)</f>
        <v>0</v>
      </c>
      <c r="FC23" s="129">
        <f>COUNTIFS(Table1[Country/ Region/ Global],'Quant analysis'!$EX$18,Table1[The Six Conditions of Systems Change (WORK IN PROGRESS)],'Quant analysis'!$EB23,Table1[Outcome FY],'Quant analysis'!FC$19)</f>
        <v>0</v>
      </c>
      <c r="FD23" s="129">
        <f>COUNTIFS(Table1[Country/ Region/ Global],'Quant analysis'!$EX$18,Table1[The Six Conditions of Systems Change (WORK IN PROGRESS)],'Quant analysis'!$EB23,Table1[Outcome FY],'Quant analysis'!FD$19)</f>
        <v>0</v>
      </c>
      <c r="FE23" s="129">
        <f t="shared" si="17"/>
        <v>0</v>
      </c>
    </row>
    <row r="24" spans="1:161" x14ac:dyDescent="0.2">
      <c r="A24" s="130"/>
      <c r="B24" s="130"/>
      <c r="C24" s="130"/>
      <c r="D24" s="130"/>
      <c r="E24" s="130"/>
      <c r="F24" s="130"/>
      <c r="G24" s="130"/>
      <c r="H24" s="130"/>
      <c r="I24" s="130"/>
      <c r="J24" s="130"/>
      <c r="K24" s="130"/>
      <c r="L24" s="130"/>
      <c r="M24" s="130"/>
      <c r="N24" s="130"/>
      <c r="O24" s="130"/>
      <c r="P24" s="130"/>
      <c r="Q24" s="130"/>
      <c r="R24" s="130"/>
      <c r="S24" s="130" t="s">
        <v>241</v>
      </c>
      <c r="T24" s="129" t="s">
        <v>193</v>
      </c>
      <c r="U24" s="129">
        <f>COUNTIF(Outcomes!$L:$L,'Quant analysis'!$T24)</f>
        <v>0</v>
      </c>
      <c r="V24" s="19">
        <f>COUNTIFS(Outcomes!$L:$L,'Quant analysis'!$T24,Outcomes!$Q:$Q,V$1)</f>
        <v>0</v>
      </c>
      <c r="W24" s="19">
        <f>COUNTIFS(Outcomes!$L:$L,'Quant analysis'!$T24,Outcomes!$Q:$Q,W$1)</f>
        <v>0</v>
      </c>
      <c r="X24" s="19">
        <f>COUNTIFS(Outcomes!$L:$L,'Quant analysis'!$T24,Outcomes!$Q:$Q,X$1)</f>
        <v>0</v>
      </c>
      <c r="Y24" s="19">
        <f>COUNTIFS(Outcomes!$L:$L,'Quant analysis'!$T24,Outcomes!$Q:$Q,Y$1)</f>
        <v>0</v>
      </c>
      <c r="Z24" s="19">
        <f>COUNTIFS(Outcomes!$L:$L,'Quant analysis'!$T24,Outcomes!$Q:$Q,Z$1)</f>
        <v>0</v>
      </c>
      <c r="AA24" s="105">
        <f>COUNTIFS(Outcomes!$L:$L,'Quant analysis'!$T24,Outcomes!$Q:$Q,AA$1)</f>
        <v>0</v>
      </c>
      <c r="AB24" s="105">
        <f>COUNTIFS(Outcomes!$L:$L,'Quant analysis'!$T24,Outcomes!$Q:$Q,AB$1)</f>
        <v>0</v>
      </c>
      <c r="AC24" s="105">
        <f>COUNTIFS(Outcomes!$L:$L,'Quant analysis'!$T24,Outcomes!$Q:$Q,AC$1)</f>
        <v>0</v>
      </c>
      <c r="AD24" s="105">
        <f>COUNTIFS(Outcomes!$L:$L,'Quant analysis'!$T24,Outcomes!$Q:$Q,AD$1)</f>
        <v>0</v>
      </c>
      <c r="AE24" s="130">
        <f t="shared" si="0"/>
        <v>0</v>
      </c>
      <c r="AF24" s="130"/>
      <c r="AG24" s="130" t="s">
        <v>141</v>
      </c>
      <c r="AH24" s="130"/>
      <c r="AI24" s="130"/>
      <c r="AJ24" s="130"/>
      <c r="AK24" s="130"/>
      <c r="AL24" s="130"/>
      <c r="AM24" s="130"/>
      <c r="AN24" s="130"/>
      <c r="AO24" s="130"/>
      <c r="AP24" s="130"/>
      <c r="AQ24" s="130"/>
      <c r="AR24" s="130"/>
      <c r="AS24" s="130"/>
      <c r="AT24" s="130"/>
      <c r="AU24" s="130"/>
      <c r="AV24" s="130"/>
      <c r="AW24" s="130"/>
      <c r="AX24" s="130">
        <v>0</v>
      </c>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29" t="s">
        <v>242</v>
      </c>
      <c r="BU24" s="129" t="s">
        <v>107</v>
      </c>
      <c r="BV24" s="68">
        <f>COUNTIF(Outcomes!U:Y,'Quant analysis'!BU24)</f>
        <v>0</v>
      </c>
      <c r="BW24" s="19">
        <f>COUNTIFS(Outcomes!$U:$U,'Quant analysis'!$BU24,Outcomes!$Q:$Q,BW$1)+COUNTIFS(Outcomes!$V:$V,'Quant analysis'!$BU24,Outcomes!$Q:$Q,BW$1)+COUNTIFS(Outcomes!$W:$W,'Quant analysis'!$BU24,Outcomes!$Q:$Q,BW$1)+COUNTIFS(Outcomes!$X:$X,'Quant analysis'!$BU24,Outcomes!$Q:$Q,BW$1)+COUNTIFS(Outcomes!$Y:$Y,'Quant analysis'!$BU24,Outcomes!$Q:$Q,BW$1)</f>
        <v>0</v>
      </c>
      <c r="BX24" s="19">
        <f>COUNTIFS(Outcomes!$U:$U,'Quant analysis'!$BU24,Outcomes!$Q:$Q,BX$1)+COUNTIFS(Outcomes!$V:$V,'Quant analysis'!$BU24,Outcomes!$Q:$Q,BX$1)+COUNTIFS(Outcomes!$W:$W,'Quant analysis'!$BU24,Outcomes!$Q:$Q,BX$1)+COUNTIFS(Outcomes!$X:$X,'Quant analysis'!$BU24,Outcomes!$Q:$Q,BX$1)+COUNTIFS(Outcomes!$Y:$Y,'Quant analysis'!$BU24,Outcomes!$Q:$Q,BX$1)</f>
        <v>0</v>
      </c>
      <c r="BY24" s="19">
        <f>COUNTIFS(Outcomes!$U:$U,'Quant analysis'!$BU24,Outcomes!$Q:$Q,BY$1)+COUNTIFS(Outcomes!$V:$V,'Quant analysis'!$BU24,Outcomes!$Q:$Q,BY$1)+COUNTIFS(Outcomes!$W:$W,'Quant analysis'!$BU24,Outcomes!$Q:$Q,BY$1)+COUNTIFS(Outcomes!$X:$X,'Quant analysis'!$BU24,Outcomes!$Q:$Q,BY$1)+COUNTIFS(Outcomes!$Y:$Y,'Quant analysis'!$BU24,Outcomes!$Q:$Q,BY$1)</f>
        <v>0</v>
      </c>
      <c r="BZ24" s="19">
        <f>COUNTIFS(Outcomes!$U:$U,'Quant analysis'!$BU24,Outcomes!$Q:$Q,BZ$1)+COUNTIFS(Outcomes!$V:$V,'Quant analysis'!$BU24,Outcomes!$Q:$Q,BZ$1)+COUNTIFS(Outcomes!$W:$W,'Quant analysis'!$BU24,Outcomes!$Q:$Q,BZ$1)+COUNTIFS(Outcomes!$X:$X,'Quant analysis'!$BU24,Outcomes!$Q:$Q,BZ$1)+COUNTIFS(Outcomes!$Y:$Y,'Quant analysis'!$BU24,Outcomes!$Q:$Q,BZ$1)</f>
        <v>0</v>
      </c>
      <c r="CA24" s="19">
        <f>COUNTIFS(Outcomes!$U:$U,'Quant analysis'!$BU24,Outcomes!$Q:$Q,CA$1)+COUNTIFS(Outcomes!$V:$V,'Quant analysis'!$BU24,Outcomes!$Q:$Q,CA$1)+COUNTIFS(Outcomes!$W:$W,'Quant analysis'!$BU24,Outcomes!$Q:$Q,CA$1)+COUNTIFS(Outcomes!$X:$X,'Quant analysis'!$BU24,Outcomes!$Q:$Q,CA$1)+COUNTIFS(Outcomes!$Y:$Y,'Quant analysis'!$BU24,Outcomes!$Q:$Q,CA$1)</f>
        <v>0</v>
      </c>
      <c r="CB24" s="105">
        <f>COUNTIFS(Outcomes!$U:$U,'Quant analysis'!$BU24,Outcomes!$Q:$Q,CB$1)+COUNTIFS(Outcomes!$V:$V,'Quant analysis'!$BU24,Outcomes!$Q:$Q,CB$1)+COUNTIFS(Outcomes!$W:$W,'Quant analysis'!$BU24,Outcomes!$Q:$Q,CB$1)+COUNTIFS(Outcomes!$X:$X,'Quant analysis'!$BU24,Outcomes!$Q:$Q,CB$1)+COUNTIFS(Outcomes!$Y:$Y,'Quant analysis'!$BU24,Outcomes!$Q:$Q,CB$1)</f>
        <v>0</v>
      </c>
      <c r="CC24" s="105">
        <f>COUNTIFS(Outcomes!$U:$U,'Quant analysis'!$BU24,Outcomes!$Q:$Q,CC$1)+COUNTIFS(Outcomes!$V:$V,'Quant analysis'!$BU24,Outcomes!$Q:$Q,CC$1)+COUNTIFS(Outcomes!$W:$W,'Quant analysis'!$BU24,Outcomes!$Q:$Q,CC$1)+COUNTIFS(Outcomes!$X:$X,'Quant analysis'!$BU24,Outcomes!$Q:$Q,CC$1)+COUNTIFS(Outcomes!$Y:$Y,'Quant analysis'!$BU24,Outcomes!$Q:$Q,CC$1)</f>
        <v>0</v>
      </c>
      <c r="CD24" s="105">
        <f>COUNTIFS(Outcomes!$U:$U,'Quant analysis'!$BU24,Outcomes!$Q:$Q,CD$1)+COUNTIFS(Outcomes!$V:$V,'Quant analysis'!$BU24,Outcomes!$Q:$Q,CD$1)+COUNTIFS(Outcomes!$W:$W,'Quant analysis'!$BU24,Outcomes!$Q:$Q,CD$1)+COUNTIFS(Outcomes!$X:$X,'Quant analysis'!$BU24,Outcomes!$Q:$Q,CD$1)+COUNTIFS(Outcomes!$Y:$Y,'Quant analysis'!$BU24,Outcomes!$Q:$Q,CD$1)</f>
        <v>0</v>
      </c>
      <c r="CE24" s="105">
        <f>COUNTIFS(Outcomes!$U:$U,'Quant analysis'!$BU24,Outcomes!$Q:$Q,CE$1)+COUNTIFS(Outcomes!$V:$V,'Quant analysis'!$BU24,Outcomes!$Q:$Q,CE$1)+COUNTIFS(Outcomes!$W:$W,'Quant analysis'!$BU24,Outcomes!$Q:$Q,CE$1)+COUNTIFS(Outcomes!$X:$X,'Quant analysis'!$BU24,Outcomes!$Q:$Q,CE$1)+COUNTIFS(Outcomes!$Y:$Y,'Quant analysis'!$BU24,Outcomes!$Q:$Q,CE$1)</f>
        <v>0</v>
      </c>
      <c r="CF24" s="129">
        <f t="shared" si="4"/>
        <v>0</v>
      </c>
      <c r="CG24" s="130"/>
      <c r="CH24" s="130"/>
      <c r="CI24" s="130"/>
      <c r="CJ24" s="130"/>
      <c r="CK24" s="130"/>
      <c r="CL24" s="130"/>
      <c r="CM24" s="130"/>
      <c r="CN24" s="130"/>
      <c r="CO24" s="130"/>
      <c r="CP24" s="130"/>
      <c r="CQ24" s="130"/>
      <c r="CR24" s="130"/>
      <c r="CS24" s="130"/>
      <c r="CT24" s="130"/>
      <c r="CU24" s="130"/>
      <c r="CV24" s="131"/>
      <c r="CW24" s="129" t="s">
        <v>10</v>
      </c>
      <c r="CX24" s="129">
        <f>COUNTIFS(Table1[Outcome FY],'Quant analysis'!CX19,Table1[The Six Conditions of Systems Change (WORK IN PROGRESS)],'Quant analysis'!CW24,Table1[Level of influence],"subnational")</f>
        <v>0</v>
      </c>
      <c r="CY24" s="129">
        <f>COUNTIFS(Table1[Outcome FY],'Quant analysis'!CY19,Table1[The Six Conditions of Systems Change (WORK IN PROGRESS)],'Quant analysis'!CW24,Table1[Level of influence],"subnational")</f>
        <v>0</v>
      </c>
      <c r="CZ24" s="129">
        <f>COUNTIFS(Table1[Outcome FY],'Quant analysis'!CZ19,Table1[The Six Conditions of Systems Change (WORK IN PROGRESS)],'Quant analysis'!CW24,Table1[Level of influence],"subnational")</f>
        <v>0</v>
      </c>
      <c r="DA24" s="129">
        <f>COUNTIFS(Table1[Outcome FY],'Quant analysis'!DA19,Table1[The Six Conditions of Systems Change (WORK IN PROGRESS)],'Quant analysis'!CW24,Table1[Level of influence],"subnational")</f>
        <v>0</v>
      </c>
      <c r="DB24" s="129">
        <f>COUNTIFS(Table1[Outcome FY],'Quant analysis'!DB19,Table1[The Six Conditions of Systems Change (WORK IN PROGRESS)],'Quant analysis'!CW24,Table1[Level of influence],"subnational")</f>
        <v>0</v>
      </c>
      <c r="DC24" s="129">
        <f>COUNTIFS(Table1[Outcome FY],'Quant analysis'!DC19,Table1[The Six Conditions of Systems Change (WORK IN PROGRESS)],'Quant analysis'!CW24,Table1[Level of influence],"subnational")</f>
        <v>0</v>
      </c>
      <c r="DD24" s="129">
        <f>COUNTIFS(Table1[Outcome FY],'Quant analysis'!DD19,Table1[The Six Conditions of Systems Change (WORK IN PROGRESS)],'Quant analysis'!CW24,Table1[Level of influence],"subnational")</f>
        <v>0</v>
      </c>
      <c r="DE24" s="129">
        <f t="shared" si="18"/>
        <v>0</v>
      </c>
      <c r="DF24" s="130"/>
      <c r="DG24" s="130"/>
      <c r="DH24" s="129" t="s">
        <v>242</v>
      </c>
      <c r="DI24" s="129" t="s">
        <v>107</v>
      </c>
      <c r="DJ24" s="68">
        <f t="shared" si="7"/>
        <v>0</v>
      </c>
      <c r="DK24" s="19">
        <f>COUNTIFS(Table1[Level of influence],"subnational",Table1[The Six Conditions of Systems Change (WORK IN PROGRESS)],"Policies",Table1[Output contribution 1],'Quant analysis'!DI24)+COUNTIFS(Table1[Level of influence],"subnational",Table1[The Six Conditions of Systems Change (WORK IN PROGRESS)],"Policies",Table1[Output contribution 2],'Quant analysis'!DI24)+COUNTIFS(Table1[Level of influence],"subnational",Table1[The Six Conditions of Systems Change (WORK IN PROGRESS)],"Policies",Table1[Output contribution 3],'Quant analysis'!DI24)+COUNTIFS(Table1[Level of influence],"subnational",Table1[The Six Conditions of Systems Change (WORK IN PROGRESS)],"Policies",Table1[Output contribution 4],'Quant analysis'!DI24)+COUNTIFS(Table1[Level of influence],"subnational",Table1[The Six Conditions of Systems Change (WORK IN PROGRESS)],"Policies",Table1[Output contribution 5],'Quant analysis'!DI24)+COUNTIFS(Table1[Level of influence],"national",Table1[The Six Conditions of Systems Change (WORK IN PROGRESS)],"Policies",Table1[Output contribution 1],'Quant analysis'!DI24)+COUNTIFS(Table1[Level of influence],"national",Table1[The Six Conditions of Systems Change (WORK IN PROGRESS)],"Policies",Table1[Output contribution 2],'Quant analysis'!DI24)+COUNTIFS(Table1[Level of influence],"national",Table1[The Six Conditions of Systems Change (WORK IN PROGRESS)],"Policies",Table1[Output contribution 3],'Quant analysis'!DI24)+COUNTIFS(Table1[Level of influence],"national",Table1[The Six Conditions of Systems Change (WORK IN PROGRESS)],"Policies",Table1[Output contribution 4],'Quant analysis'!DI24)+COUNTIFS(Table1[Level of influence],"national",Table1[The Six Conditions of Systems Change (WORK IN PROGRESS)],"Policies",Table1[Output contribution 5],'Quant analysis'!DI24)</f>
        <v>0</v>
      </c>
      <c r="DL24" s="19">
        <f>COUNTIFS(Table1[Level of influence],"subnational",Table1[The Six Conditions of Systems Change (WORK IN PROGRESS)],"Practices",Table1[Output contribution 1],'Quant analysis'!$DI24)+COUNTIFS(Table1[Level of influence],"subnational",Table1[The Six Conditions of Systems Change (WORK IN PROGRESS)],"Practices",Table1[Output contribution 2],'Quant analysis'!$DI24)+COUNTIFS(Table1[Level of influence],"subnational",Table1[The Six Conditions of Systems Change (WORK IN PROGRESS)],"Practices",Table1[Output contribution 3],'Quant analysis'!$DI24)+COUNTIFS(Table1[Level of influence],"subnational",Table1[The Six Conditions of Systems Change (WORK IN PROGRESS)],"Practices",Table1[Output contribution 4],'Quant analysis'!$DI24)+COUNTIFS(Table1[Level of influence],"subnational",Table1[The Six Conditions of Systems Change (WORK IN PROGRESS)],"Practices",Table1[Output contribution 5],'Quant analysis'!$DI24)+COUNTIFS(Table1[Level of influence],"national",Table1[The Six Conditions of Systems Change (WORK IN PROGRESS)],"Practices",Table1[Output contribution 1],'Quant analysis'!$DI24)+COUNTIFS(Table1[Level of influence],"national",Table1[The Six Conditions of Systems Change (WORK IN PROGRESS)],"Practices",Table1[Output contribution 2],'Quant analysis'!$DI24)+COUNTIFS(Table1[Level of influence],"national",Table1[The Six Conditions of Systems Change (WORK IN PROGRESS)],"Practices",Table1[Output contribution 3],'Quant analysis'!$DI24)+COUNTIFS(Table1[Level of influence],"national",Table1[The Six Conditions of Systems Change (WORK IN PROGRESS)],"Practices",Table1[Output contribution 4],'Quant analysis'!$DI24)+COUNTIFS(Table1[Level of influence],"national",Table1[The Six Conditions of Systems Change (WORK IN PROGRESS)],"Practices",Table1[Output contribution 5],'Quant analysis'!$DI24)</f>
        <v>0</v>
      </c>
      <c r="DM24" s="19">
        <f>COUNTIFS(Table1[Level of influence],"subnational",Table1[The Six Conditions of Systems Change (WORK IN PROGRESS)],DM$1,Table1[Output contribution 1],'Quant analysis'!$DI24)+COUNTIFS(Table1[Level of influence],"subnational",Table1[The Six Conditions of Systems Change (WORK IN PROGRESS)],DM$1,Table1[Output contribution 2],'Quant analysis'!$DI24)+COUNTIFS(Table1[Level of influence],"subnational",Table1[The Six Conditions of Systems Change (WORK IN PROGRESS)],DM$1,Table1[Output contribution 3],'Quant analysis'!$DI24)+COUNTIFS(Table1[Level of influence],"subnational",Table1[The Six Conditions of Systems Change (WORK IN PROGRESS)],DM$1,Table1[Output contribution 4],'Quant analysis'!$DI24)+COUNTIFS(Table1[Level of influence],"subnational",Table1[The Six Conditions of Systems Change (WORK IN PROGRESS)],DM$1,Table1[Output contribution 5],'Quant analysis'!$DI24)+COUNTIFS(Table1[Level of influence],"national",Table1[The Six Conditions of Systems Change (WORK IN PROGRESS)],DM$1,Table1[Output contribution 1],'Quant analysis'!$DI24)+COUNTIFS(Table1[Level of influence],"national",Table1[The Six Conditions of Systems Change (WORK IN PROGRESS)],DM$1,Table1[Output contribution 2],'Quant analysis'!$DI24)+COUNTIFS(Table1[Level of influence],"national",Table1[The Six Conditions of Systems Change (WORK IN PROGRESS)],DM$1,Table1[Output contribution 3],'Quant analysis'!$DI24)+COUNTIFS(Table1[Level of influence],"national",Table1[The Six Conditions of Systems Change (WORK IN PROGRESS)],DM$1,Table1[Output contribution 4],'Quant analysis'!$DI24)+COUNTIFS(Table1[Level of influence],"national",Table1[The Six Conditions of Systems Change (WORK IN PROGRESS)],DM$1,Table1[Output contribution 5],'Quant analysis'!$DI24)</f>
        <v>0</v>
      </c>
      <c r="DN24" s="19">
        <f>COUNTIFS(Table1[Level of influence],"subnational",Table1[The Six Conditions of Systems Change (WORK IN PROGRESS)],DN$1,Table1[Output contribution 1],'Quant analysis'!$DI24)+COUNTIFS(Table1[Level of influence],"subnational",Table1[The Six Conditions of Systems Change (WORK IN PROGRESS)],DN$1,Table1[Output contribution 2],'Quant analysis'!$DI24)+COUNTIFS(Table1[Level of influence],"subnational",Table1[The Six Conditions of Systems Change (WORK IN PROGRESS)],DN$1,Table1[Output contribution 3],'Quant analysis'!$DI24)+COUNTIFS(Table1[Level of influence],"subnational",Table1[The Six Conditions of Systems Change (WORK IN PROGRESS)],DN$1,Table1[Output contribution 4],'Quant analysis'!$DI24)+COUNTIFS(Table1[Level of influence],"subnational",Table1[The Six Conditions of Systems Change (WORK IN PROGRESS)],DN$1,Table1[Output contribution 5],'Quant analysis'!$DI24)+COUNTIFS(Table1[Level of influence],"national",Table1[The Six Conditions of Systems Change (WORK IN PROGRESS)],DN$1,Table1[Output contribution 1],'Quant analysis'!$DI24)+COUNTIFS(Table1[Level of influence],"national",Table1[The Six Conditions of Systems Change (WORK IN PROGRESS)],DN$1,Table1[Output contribution 2],'Quant analysis'!$DI24)+COUNTIFS(Table1[Level of influence],"national",Table1[The Six Conditions of Systems Change (WORK IN PROGRESS)],DN$1,Table1[Output contribution 3],'Quant analysis'!$DI24)+COUNTIFS(Table1[Level of influence],"national",Table1[The Six Conditions of Systems Change (WORK IN PROGRESS)],DN$1,Table1[Output contribution 4],'Quant analysis'!$DI24)+COUNTIFS(Table1[Level of influence],"national",Table1[The Six Conditions of Systems Change (WORK IN PROGRESS)],DN$1,Table1[Output contribution 5],'Quant analysis'!$DI24)</f>
        <v>0</v>
      </c>
      <c r="DO24" s="19">
        <f>COUNTIFS(Table1[Level of influence],"subnational",Table1[The Six Conditions of Systems Change (WORK IN PROGRESS)],DO$1,Table1[Output contribution 1],'Quant analysis'!$DI24)+COUNTIFS(Table1[Level of influence],"subnational",Table1[The Six Conditions of Systems Change (WORK IN PROGRESS)],DO$1,Table1[Output contribution 2],'Quant analysis'!$DI24)+COUNTIFS(Table1[Level of influence],"subnational",Table1[The Six Conditions of Systems Change (WORK IN PROGRESS)],DO$1,Table1[Output contribution 3],'Quant analysis'!$DI24)+COUNTIFS(Table1[Level of influence],"subnational",Table1[The Six Conditions of Systems Change (WORK IN PROGRESS)],DO$1,Table1[Output contribution 4],'Quant analysis'!$DI24)+COUNTIFS(Table1[Level of influence],"subnational",Table1[The Six Conditions of Systems Change (WORK IN PROGRESS)],DO$1,Table1[Output contribution 5],'Quant analysis'!$DI24)+COUNTIFS(Table1[Level of influence],"national",Table1[The Six Conditions of Systems Change (WORK IN PROGRESS)],DO$1,Table1[Output contribution 1],'Quant analysis'!$DI24)+COUNTIFS(Table1[Level of influence],"national",Table1[The Six Conditions of Systems Change (WORK IN PROGRESS)],DO$1,Table1[Output contribution 2],'Quant analysis'!$DI24)+COUNTIFS(Table1[Level of influence],"national",Table1[The Six Conditions of Systems Change (WORK IN PROGRESS)],DO$1,Table1[Output contribution 3],'Quant analysis'!$DI24)+COUNTIFS(Table1[Level of influence],"national",Table1[The Six Conditions of Systems Change (WORK IN PROGRESS)],DO$1,Table1[Output contribution 4],'Quant analysis'!$DI24)+COUNTIFS(Table1[Level of influence],"national",Table1[The Six Conditions of Systems Change (WORK IN PROGRESS)],DO$1,Table1[Output contribution 5],'Quant analysis'!$DI24)</f>
        <v>0</v>
      </c>
      <c r="DP24" s="19">
        <f>COUNTIFS(Table1[Level of influence],"subnational",Table1[The Six Conditions of Systems Change (WORK IN PROGRESS)],DP$1,Table1[Output contribution 1],'Quant analysis'!$DI24)+COUNTIFS(Table1[Level of influence],"subnational",Table1[The Six Conditions of Systems Change (WORK IN PROGRESS)],DP$1,Table1[Output contribution 2],'Quant analysis'!$DI24)+COUNTIFS(Table1[Level of influence],"subnational",Table1[The Six Conditions of Systems Change (WORK IN PROGRESS)],DP$1,Table1[Output contribution 3],'Quant analysis'!$DI24)+COUNTIFS(Table1[Level of influence],"subnational",Table1[The Six Conditions of Systems Change (WORK IN PROGRESS)],DP$1,Table1[Output contribution 4],'Quant analysis'!$DI24)+COUNTIFS(Table1[Level of influence],"subnational",Table1[The Six Conditions of Systems Change (WORK IN PROGRESS)],DP$1,Table1[Output contribution 5],'Quant analysis'!$DI24)+COUNTIFS(Table1[Level of influence],"national",Table1[The Six Conditions of Systems Change (WORK IN PROGRESS)],DP$1,Table1[Output contribution 1],'Quant analysis'!$DI24)+COUNTIFS(Table1[Level of influence],"national",Table1[The Six Conditions of Systems Change (WORK IN PROGRESS)],DP$1,Table1[Output contribution 2],'Quant analysis'!$DI24)+COUNTIFS(Table1[Level of influence],"national",Table1[The Six Conditions of Systems Change (WORK IN PROGRESS)],DP$1,Table1[Output contribution 3],'Quant analysis'!$DI24)+COUNTIFS(Table1[Level of influence],"national",Table1[The Six Conditions of Systems Change (WORK IN PROGRESS)],DP$1,Table1[Output contribution 4],'Quant analysis'!$DI24)+COUNTIFS(Table1[Level of influence],"national",Table1[The Six Conditions of Systems Change (WORK IN PROGRESS)],DP$1,Table1[Output contribution 5],'Quant analysis'!$DI24)</f>
        <v>0</v>
      </c>
      <c r="DQ24" s="130"/>
      <c r="DR24" s="130"/>
      <c r="DS24" s="157" t="s">
        <v>277</v>
      </c>
      <c r="DT24" s="129">
        <f>COUNTIFS(Table1[The Six Conditions of Systems Change (WORK IN PROGRESS)],'Quant analysis'!DT$1,Table1[Level of influence],"subnational",Table1['# of quarters between first contribution statement ],'Quant analysis'!$DS24)+COUNTIFS(Table1[The Six Conditions of Systems Change (WORK IN PROGRESS)],'Quant analysis'!DT$1,Table1[Level of influence],"national",Table1['# of quarters between first contribution statement ],'Quant analysis'!$DS24)</f>
        <v>0</v>
      </c>
      <c r="DU24" s="129">
        <f>COUNTIFS(Table1[The Six Conditions of Systems Change (WORK IN PROGRESS)],'Quant analysis'!DU$1,Table1[Level of influence],"subnational",Table1['# of quarters between first contribution statement ],'Quant analysis'!$DS24)+COUNTIFS(Table1[The Six Conditions of Systems Change (WORK IN PROGRESS)],'Quant analysis'!DU$1,Table1[Level of influence],"national",Table1['# of quarters between first contribution statement ],'Quant analysis'!$DS24)</f>
        <v>0</v>
      </c>
      <c r="DV24" s="129">
        <f>COUNTIFS(Table1[The Six Conditions of Systems Change (WORK IN PROGRESS)],'Quant analysis'!DV$1,Table1[Level of influence],"subnational",Table1['# of quarters between first contribution statement ],'Quant analysis'!$DS24)+COUNTIFS(Table1[The Six Conditions of Systems Change (WORK IN PROGRESS)],'Quant analysis'!DV$1,Table1[Level of influence],"national",Table1['# of quarters between first contribution statement ],'Quant analysis'!$DS24)</f>
        <v>0</v>
      </c>
      <c r="DW24" s="129">
        <f>COUNTIFS(Table1[The Six Conditions of Systems Change (WORK IN PROGRESS)],'Quant analysis'!DW$1,Table1[Level of influence],"subnational",Table1['# of quarters between first contribution statement ],'Quant analysis'!$DS24)+COUNTIFS(Table1[The Six Conditions of Systems Change (WORK IN PROGRESS)],'Quant analysis'!DW$1,Table1[Level of influence],"national",Table1['# of quarters between first contribution statement ],'Quant analysis'!$DS24)</f>
        <v>0</v>
      </c>
      <c r="DX24" s="129">
        <f>COUNTIFS(Table1[The Six Conditions of Systems Change (WORK IN PROGRESS)],'Quant analysis'!DX$1,Table1[Level of influence],"subnational",Table1['# of quarters between first contribution statement ],'Quant analysis'!$DS24)+COUNTIFS(Table1[The Six Conditions of Systems Change (WORK IN PROGRESS)],'Quant analysis'!DX$1,Table1[Level of influence],"national",Table1['# of quarters between first contribution statement ],'Quant analysis'!$DS24)</f>
        <v>0</v>
      </c>
      <c r="DY24" s="129">
        <f>COUNTIFS(Table1[The Six Conditions of Systems Change (WORK IN PROGRESS)],'Quant analysis'!DY$1,Table1[Level of influence],"subnational",Table1['# of quarters between first contribution statement ],'Quant analysis'!$DS24)+COUNTIFS(Table1[The Six Conditions of Systems Change (WORK IN PROGRESS)],'Quant analysis'!DY$1,Table1[Level of influence],"national",Table1['# of quarters between first contribution statement ],'Quant analysis'!$DS24)</f>
        <v>0</v>
      </c>
      <c r="DZ24" s="129"/>
      <c r="EA24" s="130"/>
      <c r="EB24" s="129" t="s">
        <v>10</v>
      </c>
      <c r="EC24" s="129">
        <f>COUNTIFS(Table1[Country/ Region/ Global],'Quant analysis'!$EC$18,Table1[The Six Conditions of Systems Change (WORK IN PROGRESS)],'Quant analysis'!EB24,Table1[Outcome FY],'Quant analysis'!EC$19)</f>
        <v>0</v>
      </c>
      <c r="ED24" s="129">
        <f>COUNTIFS(Table1[Country/ Region/ Global],'Quant analysis'!$EC$18,Table1[The Six Conditions of Systems Change (WORK IN PROGRESS)],'Quant analysis'!EB24,Table1[Outcome FY],'Quant analysis'!ED$19)</f>
        <v>0</v>
      </c>
      <c r="EE24" s="129">
        <f>COUNTIFS(Table1[Country/ Region/ Global],'Quant analysis'!$EC$18,Table1[The Six Conditions of Systems Change (WORK IN PROGRESS)],'Quant analysis'!$EB24,Table1[Outcome FY],'Quant analysis'!EE$19)</f>
        <v>0</v>
      </c>
      <c r="EF24" s="129">
        <f>COUNTIFS(Table1[Country/ Region/ Global],'Quant analysis'!$EC$18,Table1[The Six Conditions of Systems Change (WORK IN PROGRESS)],'Quant analysis'!$EB24,Table1[Outcome FY],'Quant analysis'!EF$19)</f>
        <v>0</v>
      </c>
      <c r="EG24" s="129">
        <f>COUNTIFS(Table1[Country/ Region/ Global],'Quant analysis'!$EC$18,Table1[The Six Conditions of Systems Change (WORK IN PROGRESS)],'Quant analysis'!$EB24,Table1[Outcome FY],'Quant analysis'!EG$19)</f>
        <v>0</v>
      </c>
      <c r="EH24" s="129">
        <f>COUNTIFS(Table1[Country/ Region/ Global],'Quant analysis'!$EC$18,Table1[The Six Conditions of Systems Change (WORK IN PROGRESS)],'Quant analysis'!$EB24,Table1[Outcome FY],'Quant analysis'!EH$19)</f>
        <v>0</v>
      </c>
      <c r="EI24" s="129">
        <f>COUNTIFS(Table1[Country/ Region/ Global],'Quant analysis'!$EC$18,Table1[The Six Conditions of Systems Change (WORK IN PROGRESS)],'Quant analysis'!$EB24,Table1[Outcome FY],'Quant analysis'!EI$19)</f>
        <v>0</v>
      </c>
      <c r="EJ24" s="129">
        <f t="shared" si="15"/>
        <v>0</v>
      </c>
      <c r="EK24" s="130"/>
      <c r="EL24" s="130"/>
      <c r="EM24" s="129" t="s">
        <v>10</v>
      </c>
      <c r="EN24" s="129">
        <f>COUNTIFS(Table1[Country/ Region/ Global],'Quant analysis'!$EN$18,Table1[The Six Conditions of Systems Change (WORK IN PROGRESS)],'Quant analysis'!$EB24,Table1[Outcome FY],'Quant analysis'!EN$19)</f>
        <v>0</v>
      </c>
      <c r="EO24" s="129">
        <f>COUNTIFS(Table1[Country/ Region/ Global],'Quant analysis'!$EN$18,Table1[The Six Conditions of Systems Change (WORK IN PROGRESS)],'Quant analysis'!$EB24,Table1[Outcome FY],'Quant analysis'!EO$19)</f>
        <v>0</v>
      </c>
      <c r="EP24" s="129">
        <f>COUNTIFS(Table1[Country/ Region/ Global],'Quant analysis'!$EN$18,Table1[The Six Conditions of Systems Change (WORK IN PROGRESS)],'Quant analysis'!$EB24,Table1[Outcome FY],'Quant analysis'!EP$19)</f>
        <v>0</v>
      </c>
      <c r="EQ24" s="129">
        <f>COUNTIFS(Table1[Country/ Region/ Global],'Quant analysis'!$EN$18,Table1[The Six Conditions of Systems Change (WORK IN PROGRESS)],'Quant analysis'!$EB24,Table1[Outcome FY],'Quant analysis'!EQ$19)</f>
        <v>0</v>
      </c>
      <c r="ER24" s="129">
        <f>COUNTIFS(Table1[Country/ Region/ Global],'Quant analysis'!$EN$18,Table1[The Six Conditions of Systems Change (WORK IN PROGRESS)],'Quant analysis'!$EB24,Table1[Outcome FY],'Quant analysis'!ER$19)</f>
        <v>0</v>
      </c>
      <c r="ES24" s="129">
        <f>COUNTIFS(Table1[Country/ Region/ Global],'Quant analysis'!$EN$18,Table1[The Six Conditions of Systems Change (WORK IN PROGRESS)],'Quant analysis'!$EB24,Table1[Outcome FY],'Quant analysis'!ES$19)</f>
        <v>0</v>
      </c>
      <c r="ET24" s="129">
        <f>COUNTIFS(Table1[Country/ Region/ Global],'Quant analysis'!$EN$18,Table1[The Six Conditions of Systems Change (WORK IN PROGRESS)],'Quant analysis'!$EB24,Table1[Outcome FY],'Quant analysis'!ET$19)</f>
        <v>0</v>
      </c>
      <c r="EU24" s="129">
        <f t="shared" si="16"/>
        <v>0</v>
      </c>
      <c r="EV24" s="130"/>
      <c r="EW24" s="129" t="s">
        <v>10</v>
      </c>
      <c r="EX24" s="129">
        <f>COUNTIFS(Table1[Country/ Region/ Global],'Quant analysis'!$EX$18,Table1[The Six Conditions of Systems Change (WORK IN PROGRESS)],'Quant analysis'!$EB24,Table1[Outcome FY],'Quant analysis'!EX$19)</f>
        <v>0</v>
      </c>
      <c r="EY24" s="129">
        <f>COUNTIFS(Table1[Country/ Region/ Global],'Quant analysis'!$EX$18,Table1[The Six Conditions of Systems Change (WORK IN PROGRESS)],'Quant analysis'!$EB24,Table1[Outcome FY],'Quant analysis'!EY$19)</f>
        <v>0</v>
      </c>
      <c r="EZ24" s="129">
        <f>COUNTIFS(Table1[Country/ Region/ Global],'Quant analysis'!$EX$18,Table1[The Six Conditions of Systems Change (WORK IN PROGRESS)],'Quant analysis'!$EB24,Table1[Outcome FY],'Quant analysis'!EZ$19)</f>
        <v>0</v>
      </c>
      <c r="FA24" s="129">
        <f>COUNTIFS(Table1[Country/ Region/ Global],'Quant analysis'!$EX$18,Table1[The Six Conditions of Systems Change (WORK IN PROGRESS)],'Quant analysis'!$EB24,Table1[Outcome FY],'Quant analysis'!FA$19)</f>
        <v>0</v>
      </c>
      <c r="FB24" s="129">
        <f>COUNTIFS(Table1[Country/ Region/ Global],'Quant analysis'!$EX$18,Table1[The Six Conditions of Systems Change (WORK IN PROGRESS)],'Quant analysis'!$EB24,Table1[Outcome FY],'Quant analysis'!FB$19)</f>
        <v>0</v>
      </c>
      <c r="FC24" s="129">
        <f>COUNTIFS(Table1[Country/ Region/ Global],'Quant analysis'!$EX$18,Table1[The Six Conditions of Systems Change (WORK IN PROGRESS)],'Quant analysis'!$EB24,Table1[Outcome FY],'Quant analysis'!FC$19)</f>
        <v>0</v>
      </c>
      <c r="FD24" s="129">
        <f>COUNTIFS(Table1[Country/ Region/ Global],'Quant analysis'!$EX$18,Table1[The Six Conditions of Systems Change (WORK IN PROGRESS)],'Quant analysis'!$EB24,Table1[Outcome FY],'Quant analysis'!FD$19)</f>
        <v>0</v>
      </c>
      <c r="FE24" s="129">
        <f t="shared" si="17"/>
        <v>0</v>
      </c>
    </row>
    <row r="25" spans="1:161" x14ac:dyDescent="0.2">
      <c r="A25" s="130"/>
      <c r="B25" s="130"/>
      <c r="C25" s="130"/>
      <c r="D25" s="130"/>
      <c r="E25" s="130"/>
      <c r="F25" s="130"/>
      <c r="G25" s="130"/>
      <c r="H25" s="130"/>
      <c r="I25" s="130"/>
      <c r="J25" s="130"/>
      <c r="K25" s="130"/>
      <c r="L25" s="130"/>
      <c r="M25" s="130"/>
      <c r="N25" s="130"/>
      <c r="O25" s="130"/>
      <c r="P25" s="130"/>
      <c r="Q25" s="130"/>
      <c r="R25" s="130"/>
      <c r="S25" s="130" t="s">
        <v>244</v>
      </c>
      <c r="T25" s="129" t="s">
        <v>195</v>
      </c>
      <c r="U25" s="129">
        <f>COUNTIF(Outcomes!$L:$L,'Quant analysis'!$T25)</f>
        <v>0</v>
      </c>
      <c r="V25" s="19">
        <f>COUNTIFS(Outcomes!$L:$L,'Quant analysis'!$T25,Outcomes!$Q:$Q,V$1)</f>
        <v>0</v>
      </c>
      <c r="W25" s="19">
        <f>COUNTIFS(Outcomes!$L:$L,'Quant analysis'!$T25,Outcomes!$Q:$Q,W$1)</f>
        <v>0</v>
      </c>
      <c r="X25" s="19">
        <f>COUNTIFS(Outcomes!$L:$L,'Quant analysis'!$T25,Outcomes!$Q:$Q,X$1)</f>
        <v>0</v>
      </c>
      <c r="Y25" s="19">
        <f>COUNTIFS(Outcomes!$L:$L,'Quant analysis'!$T25,Outcomes!$Q:$Q,Y$1)</f>
        <v>0</v>
      </c>
      <c r="Z25" s="19">
        <f>COUNTIFS(Outcomes!$L:$L,'Quant analysis'!$T25,Outcomes!$Q:$Q,Z$1)</f>
        <v>0</v>
      </c>
      <c r="AA25" s="105">
        <f>COUNTIFS(Outcomes!$L:$L,'Quant analysis'!$T25,Outcomes!$Q:$Q,AA$1)</f>
        <v>0</v>
      </c>
      <c r="AB25" s="105">
        <f>COUNTIFS(Outcomes!$L:$L,'Quant analysis'!$T25,Outcomes!$Q:$Q,AB$1)</f>
        <v>0</v>
      </c>
      <c r="AC25" s="105">
        <f>COUNTIFS(Outcomes!$L:$L,'Quant analysis'!$T25,Outcomes!$Q:$Q,AC$1)</f>
        <v>0</v>
      </c>
      <c r="AD25" s="105">
        <f>COUNTIFS(Outcomes!$L:$L,'Quant analysis'!$T25,Outcomes!$Q:$Q,AD$1)</f>
        <v>0</v>
      </c>
      <c r="AE25" s="130">
        <f t="shared" si="0"/>
        <v>0</v>
      </c>
      <c r="AF25" s="130"/>
      <c r="AG25" s="130" t="s">
        <v>136</v>
      </c>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29" t="s">
        <v>263</v>
      </c>
      <c r="BU25" s="129" t="s">
        <v>278</v>
      </c>
      <c r="BV25" s="68">
        <f>COUNTIF(Outcomes!U:Y,'Quant analysis'!BU25)</f>
        <v>0</v>
      </c>
      <c r="BW25" s="19">
        <f>COUNTIFS(Outcomes!$U:$U,'Quant analysis'!$BU25,Outcomes!$Q:$Q,BW$1)+COUNTIFS(Outcomes!$V:$V,'Quant analysis'!$BU25,Outcomes!$Q:$Q,BW$1)+COUNTIFS(Outcomes!$W:$W,'Quant analysis'!$BU25,Outcomes!$Q:$Q,BW$1)+COUNTIFS(Outcomes!$X:$X,'Quant analysis'!$BU25,Outcomes!$Q:$Q,BW$1)+COUNTIFS(Outcomes!$Y:$Y,'Quant analysis'!$BU25,Outcomes!$Q:$Q,BW$1)</f>
        <v>0</v>
      </c>
      <c r="BX25" s="19">
        <f>COUNTIFS(Outcomes!$U:$U,'Quant analysis'!$BU25,Outcomes!$Q:$Q,BX$1)+COUNTIFS(Outcomes!$V:$V,'Quant analysis'!$BU25,Outcomes!$Q:$Q,BX$1)+COUNTIFS(Outcomes!$W:$W,'Quant analysis'!$BU25,Outcomes!$Q:$Q,BX$1)+COUNTIFS(Outcomes!$X:$X,'Quant analysis'!$BU25,Outcomes!$Q:$Q,BX$1)+COUNTIFS(Outcomes!$Y:$Y,'Quant analysis'!$BU25,Outcomes!$Q:$Q,BX$1)</f>
        <v>0</v>
      </c>
      <c r="BY25" s="19">
        <f>COUNTIFS(Outcomes!$U:$U,'Quant analysis'!$BU25,Outcomes!$Q:$Q,BY$1)+COUNTIFS(Outcomes!$V:$V,'Quant analysis'!$BU25,Outcomes!$Q:$Q,BY$1)+COUNTIFS(Outcomes!$W:$W,'Quant analysis'!$BU25,Outcomes!$Q:$Q,BY$1)+COUNTIFS(Outcomes!$X:$X,'Quant analysis'!$BU25,Outcomes!$Q:$Q,BY$1)+COUNTIFS(Outcomes!$Y:$Y,'Quant analysis'!$BU25,Outcomes!$Q:$Q,BY$1)</f>
        <v>0</v>
      </c>
      <c r="BZ25" s="19">
        <f>COUNTIFS(Outcomes!$U:$U,'Quant analysis'!$BU25,Outcomes!$Q:$Q,BZ$1)+COUNTIFS(Outcomes!$V:$V,'Quant analysis'!$BU25,Outcomes!$Q:$Q,BZ$1)+COUNTIFS(Outcomes!$W:$W,'Quant analysis'!$BU25,Outcomes!$Q:$Q,BZ$1)+COUNTIFS(Outcomes!$X:$X,'Quant analysis'!$BU25,Outcomes!$Q:$Q,BZ$1)+COUNTIFS(Outcomes!$Y:$Y,'Quant analysis'!$BU25,Outcomes!$Q:$Q,BZ$1)</f>
        <v>0</v>
      </c>
      <c r="CA25" s="19">
        <f>COUNTIFS(Outcomes!$U:$U,'Quant analysis'!$BU25,Outcomes!$Q:$Q,CA$1)+COUNTIFS(Outcomes!$V:$V,'Quant analysis'!$BU25,Outcomes!$Q:$Q,CA$1)+COUNTIFS(Outcomes!$W:$W,'Quant analysis'!$BU25,Outcomes!$Q:$Q,CA$1)+COUNTIFS(Outcomes!$X:$X,'Quant analysis'!$BU25,Outcomes!$Q:$Q,CA$1)+COUNTIFS(Outcomes!$Y:$Y,'Quant analysis'!$BU25,Outcomes!$Q:$Q,CA$1)</f>
        <v>0</v>
      </c>
      <c r="CB25" s="105">
        <f>COUNTIFS(Outcomes!$U:$U,'Quant analysis'!$BU25,Outcomes!$Q:$Q,CB$1)+COUNTIFS(Outcomes!$V:$V,'Quant analysis'!$BU25,Outcomes!$Q:$Q,CB$1)+COUNTIFS(Outcomes!$W:$W,'Quant analysis'!$BU25,Outcomes!$Q:$Q,CB$1)+COUNTIFS(Outcomes!$X:$X,'Quant analysis'!$BU25,Outcomes!$Q:$Q,CB$1)+COUNTIFS(Outcomes!$Y:$Y,'Quant analysis'!$BU25,Outcomes!$Q:$Q,CB$1)</f>
        <v>0</v>
      </c>
      <c r="CC25" s="105">
        <f>COUNTIFS(Outcomes!$U:$U,'Quant analysis'!$BU25,Outcomes!$Q:$Q,CC$1)+COUNTIFS(Outcomes!$V:$V,'Quant analysis'!$BU25,Outcomes!$Q:$Q,CC$1)+COUNTIFS(Outcomes!$W:$W,'Quant analysis'!$BU25,Outcomes!$Q:$Q,CC$1)+COUNTIFS(Outcomes!$X:$X,'Quant analysis'!$BU25,Outcomes!$Q:$Q,CC$1)+COUNTIFS(Outcomes!$Y:$Y,'Quant analysis'!$BU25,Outcomes!$Q:$Q,CC$1)</f>
        <v>0</v>
      </c>
      <c r="CD25" s="105">
        <f>COUNTIFS(Outcomes!$U:$U,'Quant analysis'!$BU25,Outcomes!$Q:$Q,CD$1)+COUNTIFS(Outcomes!$V:$V,'Quant analysis'!$BU25,Outcomes!$Q:$Q,CD$1)+COUNTIFS(Outcomes!$W:$W,'Quant analysis'!$BU25,Outcomes!$Q:$Q,CD$1)+COUNTIFS(Outcomes!$X:$X,'Quant analysis'!$BU25,Outcomes!$Q:$Q,CD$1)+COUNTIFS(Outcomes!$Y:$Y,'Quant analysis'!$BU25,Outcomes!$Q:$Q,CD$1)</f>
        <v>0</v>
      </c>
      <c r="CE25" s="105">
        <f>COUNTIFS(Outcomes!$U:$U,'Quant analysis'!$BU25,Outcomes!$Q:$Q,CE$1)+COUNTIFS(Outcomes!$V:$V,'Quant analysis'!$BU25,Outcomes!$Q:$Q,CE$1)+COUNTIFS(Outcomes!$W:$W,'Quant analysis'!$BU25,Outcomes!$Q:$Q,CE$1)+COUNTIFS(Outcomes!$X:$X,'Quant analysis'!$BU25,Outcomes!$Q:$Q,CE$1)+COUNTIFS(Outcomes!$Y:$Y,'Quant analysis'!$BU25,Outcomes!$Q:$Q,CE$1)</f>
        <v>0</v>
      </c>
      <c r="CF25" s="129">
        <f t="shared" si="4"/>
        <v>0</v>
      </c>
      <c r="CG25" s="130"/>
      <c r="CH25" s="130"/>
      <c r="CI25" s="130"/>
      <c r="CJ25" s="130"/>
      <c r="CK25" s="130"/>
      <c r="CL25" s="130"/>
      <c r="CM25" s="130"/>
      <c r="CN25" s="130"/>
      <c r="CO25" s="130"/>
      <c r="CP25" s="130"/>
      <c r="CQ25" s="130"/>
      <c r="CR25" s="130"/>
      <c r="CS25" s="130"/>
      <c r="CT25" s="130"/>
      <c r="CU25" s="130"/>
      <c r="CV25" s="131"/>
      <c r="CW25" s="129" t="s">
        <v>8</v>
      </c>
      <c r="CX25" s="129">
        <f>COUNTIFS(Table1[Outcome FY],'Quant analysis'!CX19,Table1[The Six Conditions of Systems Change (WORK IN PROGRESS)],'Quant analysis'!CW25,Table1[Level of influence],"subnational")</f>
        <v>0</v>
      </c>
      <c r="CY25" s="129">
        <f>COUNTIFS(Table1[Outcome FY],'Quant analysis'!CY19,Table1[The Six Conditions of Systems Change (WORK IN PROGRESS)],'Quant analysis'!CW25,Table1[Level of influence],"subnational")</f>
        <v>0</v>
      </c>
      <c r="CZ25" s="129">
        <f>COUNTIFS(Table1[Outcome FY],'Quant analysis'!CZ19,Table1[The Six Conditions of Systems Change (WORK IN PROGRESS)],'Quant analysis'!CW25,Table1[Level of influence],"subnational")</f>
        <v>0</v>
      </c>
      <c r="DA25" s="129">
        <f>COUNTIFS(Table1[Outcome FY],'Quant analysis'!DA19,Table1[The Six Conditions of Systems Change (WORK IN PROGRESS)],'Quant analysis'!CW25,Table1[Level of influence],"subnational")</f>
        <v>0</v>
      </c>
      <c r="DB25" s="129">
        <f>COUNTIFS(Table1[Outcome FY],'Quant analysis'!DB19,Table1[The Six Conditions of Systems Change (WORK IN PROGRESS)],'Quant analysis'!CW25,Table1[Level of influence],"subnational")</f>
        <v>0</v>
      </c>
      <c r="DC25" s="129">
        <f>COUNTIFS(Table1[Outcome FY],'Quant analysis'!DC19,Table1[The Six Conditions of Systems Change (WORK IN PROGRESS)],'Quant analysis'!CW25,Table1[Level of influence],"subnational")</f>
        <v>0</v>
      </c>
      <c r="DD25" s="129">
        <f>COUNTIFS(Table1[Outcome FY],'Quant analysis'!DD19,Table1[The Six Conditions of Systems Change (WORK IN PROGRESS)],'Quant analysis'!CW25,Table1[Level of influence],"subnational")</f>
        <v>0</v>
      </c>
      <c r="DE25" s="129">
        <f t="shared" si="18"/>
        <v>0</v>
      </c>
      <c r="DF25" s="130"/>
      <c r="DG25" s="130"/>
      <c r="DH25" s="129" t="s">
        <v>263</v>
      </c>
      <c r="DI25" s="129" t="s">
        <v>278</v>
      </c>
      <c r="DJ25" s="68">
        <f t="shared" si="7"/>
        <v>0</v>
      </c>
      <c r="DK25" s="19">
        <f>COUNTIFS(Table1[Level of influence],"subnational",Table1[The Six Conditions of Systems Change (WORK IN PROGRESS)],"Policies",Table1[Output contribution 1],'Quant analysis'!DI25)+COUNTIFS(Table1[Level of influence],"subnational",Table1[The Six Conditions of Systems Change (WORK IN PROGRESS)],"Policies",Table1[Output contribution 2],'Quant analysis'!DI25)+COUNTIFS(Table1[Level of influence],"subnational",Table1[The Six Conditions of Systems Change (WORK IN PROGRESS)],"Policies",Table1[Output contribution 3],'Quant analysis'!DI25)+COUNTIFS(Table1[Level of influence],"subnational",Table1[The Six Conditions of Systems Change (WORK IN PROGRESS)],"Policies",Table1[Output contribution 4],'Quant analysis'!DI25)+COUNTIFS(Table1[Level of influence],"subnational",Table1[The Six Conditions of Systems Change (WORK IN PROGRESS)],"Policies",Table1[Output contribution 5],'Quant analysis'!DI25)+COUNTIFS(Table1[Level of influence],"national",Table1[The Six Conditions of Systems Change (WORK IN PROGRESS)],"Policies",Table1[Output contribution 1],'Quant analysis'!DI25)+COUNTIFS(Table1[Level of influence],"national",Table1[The Six Conditions of Systems Change (WORK IN PROGRESS)],"Policies",Table1[Output contribution 2],'Quant analysis'!DI25)+COUNTIFS(Table1[Level of influence],"national",Table1[The Six Conditions of Systems Change (WORK IN PROGRESS)],"Policies",Table1[Output contribution 3],'Quant analysis'!DI25)+COUNTIFS(Table1[Level of influence],"national",Table1[The Six Conditions of Systems Change (WORK IN PROGRESS)],"Policies",Table1[Output contribution 4],'Quant analysis'!DI25)+COUNTIFS(Table1[Level of influence],"national",Table1[The Six Conditions of Systems Change (WORK IN PROGRESS)],"Policies",Table1[Output contribution 5],'Quant analysis'!DI25)</f>
        <v>0</v>
      </c>
      <c r="DL25" s="19">
        <f>COUNTIFS(Table1[Level of influence],"subnational",Table1[The Six Conditions of Systems Change (WORK IN PROGRESS)],"Practices",Table1[Output contribution 1],'Quant analysis'!$DI25)+COUNTIFS(Table1[Level of influence],"subnational",Table1[The Six Conditions of Systems Change (WORK IN PROGRESS)],"Practices",Table1[Output contribution 2],'Quant analysis'!$DI25)+COUNTIFS(Table1[Level of influence],"subnational",Table1[The Six Conditions of Systems Change (WORK IN PROGRESS)],"Practices",Table1[Output contribution 3],'Quant analysis'!$DI25)+COUNTIFS(Table1[Level of influence],"subnational",Table1[The Six Conditions of Systems Change (WORK IN PROGRESS)],"Practices",Table1[Output contribution 4],'Quant analysis'!$DI25)+COUNTIFS(Table1[Level of influence],"subnational",Table1[The Six Conditions of Systems Change (WORK IN PROGRESS)],"Practices",Table1[Output contribution 5],'Quant analysis'!$DI25)+COUNTIFS(Table1[Level of influence],"national",Table1[The Six Conditions of Systems Change (WORK IN PROGRESS)],"Practices",Table1[Output contribution 1],'Quant analysis'!$DI25)+COUNTIFS(Table1[Level of influence],"national",Table1[The Six Conditions of Systems Change (WORK IN PROGRESS)],"Practices",Table1[Output contribution 2],'Quant analysis'!$DI25)+COUNTIFS(Table1[Level of influence],"national",Table1[The Six Conditions of Systems Change (WORK IN PROGRESS)],"Practices",Table1[Output contribution 3],'Quant analysis'!$DI25)+COUNTIFS(Table1[Level of influence],"national",Table1[The Six Conditions of Systems Change (WORK IN PROGRESS)],"Practices",Table1[Output contribution 4],'Quant analysis'!$DI25)+COUNTIFS(Table1[Level of influence],"national",Table1[The Six Conditions of Systems Change (WORK IN PROGRESS)],"Practices",Table1[Output contribution 5],'Quant analysis'!$DI25)</f>
        <v>0</v>
      </c>
      <c r="DM25" s="19">
        <f>COUNTIFS(Table1[Level of influence],"subnational",Table1[The Six Conditions of Systems Change (WORK IN PROGRESS)],DM$1,Table1[Output contribution 1],'Quant analysis'!$DI25)+COUNTIFS(Table1[Level of influence],"subnational",Table1[The Six Conditions of Systems Change (WORK IN PROGRESS)],DM$1,Table1[Output contribution 2],'Quant analysis'!$DI25)+COUNTIFS(Table1[Level of influence],"subnational",Table1[The Six Conditions of Systems Change (WORK IN PROGRESS)],DM$1,Table1[Output contribution 3],'Quant analysis'!$DI25)+COUNTIFS(Table1[Level of influence],"subnational",Table1[The Six Conditions of Systems Change (WORK IN PROGRESS)],DM$1,Table1[Output contribution 4],'Quant analysis'!$DI25)+COUNTIFS(Table1[Level of influence],"subnational",Table1[The Six Conditions of Systems Change (WORK IN PROGRESS)],DM$1,Table1[Output contribution 5],'Quant analysis'!$DI25)+COUNTIFS(Table1[Level of influence],"national",Table1[The Six Conditions of Systems Change (WORK IN PROGRESS)],DM$1,Table1[Output contribution 1],'Quant analysis'!$DI25)+COUNTIFS(Table1[Level of influence],"national",Table1[The Six Conditions of Systems Change (WORK IN PROGRESS)],DM$1,Table1[Output contribution 2],'Quant analysis'!$DI25)+COUNTIFS(Table1[Level of influence],"national",Table1[The Six Conditions of Systems Change (WORK IN PROGRESS)],DM$1,Table1[Output contribution 3],'Quant analysis'!$DI25)+COUNTIFS(Table1[Level of influence],"national",Table1[The Six Conditions of Systems Change (WORK IN PROGRESS)],DM$1,Table1[Output contribution 4],'Quant analysis'!$DI25)+COUNTIFS(Table1[Level of influence],"national",Table1[The Six Conditions of Systems Change (WORK IN PROGRESS)],DM$1,Table1[Output contribution 5],'Quant analysis'!$DI25)</f>
        <v>0</v>
      </c>
      <c r="DN25" s="19">
        <f>COUNTIFS(Table1[Level of influence],"subnational",Table1[The Six Conditions of Systems Change (WORK IN PROGRESS)],DN$1,Table1[Output contribution 1],'Quant analysis'!$DI25)+COUNTIFS(Table1[Level of influence],"subnational",Table1[The Six Conditions of Systems Change (WORK IN PROGRESS)],DN$1,Table1[Output contribution 2],'Quant analysis'!$DI25)+COUNTIFS(Table1[Level of influence],"subnational",Table1[The Six Conditions of Systems Change (WORK IN PROGRESS)],DN$1,Table1[Output contribution 3],'Quant analysis'!$DI25)+COUNTIFS(Table1[Level of influence],"subnational",Table1[The Six Conditions of Systems Change (WORK IN PROGRESS)],DN$1,Table1[Output contribution 4],'Quant analysis'!$DI25)+COUNTIFS(Table1[Level of influence],"subnational",Table1[The Six Conditions of Systems Change (WORK IN PROGRESS)],DN$1,Table1[Output contribution 5],'Quant analysis'!$DI25)+COUNTIFS(Table1[Level of influence],"national",Table1[The Six Conditions of Systems Change (WORK IN PROGRESS)],DN$1,Table1[Output contribution 1],'Quant analysis'!$DI25)+COUNTIFS(Table1[Level of influence],"national",Table1[The Six Conditions of Systems Change (WORK IN PROGRESS)],DN$1,Table1[Output contribution 2],'Quant analysis'!$DI25)+COUNTIFS(Table1[Level of influence],"national",Table1[The Six Conditions of Systems Change (WORK IN PROGRESS)],DN$1,Table1[Output contribution 3],'Quant analysis'!$DI25)+COUNTIFS(Table1[Level of influence],"national",Table1[The Six Conditions of Systems Change (WORK IN PROGRESS)],DN$1,Table1[Output contribution 4],'Quant analysis'!$DI25)+COUNTIFS(Table1[Level of influence],"national",Table1[The Six Conditions of Systems Change (WORK IN PROGRESS)],DN$1,Table1[Output contribution 5],'Quant analysis'!$DI25)</f>
        <v>0</v>
      </c>
      <c r="DO25" s="19">
        <f>COUNTIFS(Table1[Level of influence],"subnational",Table1[The Six Conditions of Systems Change (WORK IN PROGRESS)],DO$1,Table1[Output contribution 1],'Quant analysis'!$DI25)+COUNTIFS(Table1[Level of influence],"subnational",Table1[The Six Conditions of Systems Change (WORK IN PROGRESS)],DO$1,Table1[Output contribution 2],'Quant analysis'!$DI25)+COUNTIFS(Table1[Level of influence],"subnational",Table1[The Six Conditions of Systems Change (WORK IN PROGRESS)],DO$1,Table1[Output contribution 3],'Quant analysis'!$DI25)+COUNTIFS(Table1[Level of influence],"subnational",Table1[The Six Conditions of Systems Change (WORK IN PROGRESS)],DO$1,Table1[Output contribution 4],'Quant analysis'!$DI25)+COUNTIFS(Table1[Level of influence],"subnational",Table1[The Six Conditions of Systems Change (WORK IN PROGRESS)],DO$1,Table1[Output contribution 5],'Quant analysis'!$DI25)+COUNTIFS(Table1[Level of influence],"national",Table1[The Six Conditions of Systems Change (WORK IN PROGRESS)],DO$1,Table1[Output contribution 1],'Quant analysis'!$DI25)+COUNTIFS(Table1[Level of influence],"national",Table1[The Six Conditions of Systems Change (WORK IN PROGRESS)],DO$1,Table1[Output contribution 2],'Quant analysis'!$DI25)+COUNTIFS(Table1[Level of influence],"national",Table1[The Six Conditions of Systems Change (WORK IN PROGRESS)],DO$1,Table1[Output contribution 3],'Quant analysis'!$DI25)+COUNTIFS(Table1[Level of influence],"national",Table1[The Six Conditions of Systems Change (WORK IN PROGRESS)],DO$1,Table1[Output contribution 4],'Quant analysis'!$DI25)+COUNTIFS(Table1[Level of influence],"national",Table1[The Six Conditions of Systems Change (WORK IN PROGRESS)],DO$1,Table1[Output contribution 5],'Quant analysis'!$DI25)</f>
        <v>0</v>
      </c>
      <c r="DP25" s="19">
        <f>COUNTIFS(Table1[Level of influence],"subnational",Table1[The Six Conditions of Systems Change (WORK IN PROGRESS)],DP$1,Table1[Output contribution 1],'Quant analysis'!$DI25)+COUNTIFS(Table1[Level of influence],"subnational",Table1[The Six Conditions of Systems Change (WORK IN PROGRESS)],DP$1,Table1[Output contribution 2],'Quant analysis'!$DI25)+COUNTIFS(Table1[Level of influence],"subnational",Table1[The Six Conditions of Systems Change (WORK IN PROGRESS)],DP$1,Table1[Output contribution 3],'Quant analysis'!$DI25)+COUNTIFS(Table1[Level of influence],"subnational",Table1[The Six Conditions of Systems Change (WORK IN PROGRESS)],DP$1,Table1[Output contribution 4],'Quant analysis'!$DI25)+COUNTIFS(Table1[Level of influence],"subnational",Table1[The Six Conditions of Systems Change (WORK IN PROGRESS)],DP$1,Table1[Output contribution 5],'Quant analysis'!$DI25)+COUNTIFS(Table1[Level of influence],"national",Table1[The Six Conditions of Systems Change (WORK IN PROGRESS)],DP$1,Table1[Output contribution 1],'Quant analysis'!$DI25)+COUNTIFS(Table1[Level of influence],"national",Table1[The Six Conditions of Systems Change (WORK IN PROGRESS)],DP$1,Table1[Output contribution 2],'Quant analysis'!$DI25)+COUNTIFS(Table1[Level of influence],"national",Table1[The Six Conditions of Systems Change (WORK IN PROGRESS)],DP$1,Table1[Output contribution 3],'Quant analysis'!$DI25)+COUNTIFS(Table1[Level of influence],"national",Table1[The Six Conditions of Systems Change (WORK IN PROGRESS)],DP$1,Table1[Output contribution 4],'Quant analysis'!$DI25)+COUNTIFS(Table1[Level of influence],"national",Table1[The Six Conditions of Systems Change (WORK IN PROGRESS)],DP$1,Table1[Output contribution 5],'Quant analysis'!$DI25)</f>
        <v>0</v>
      </c>
      <c r="DQ25" s="130"/>
      <c r="DR25" s="130"/>
      <c r="DS25" s="157" t="s">
        <v>279</v>
      </c>
      <c r="DT25" s="129">
        <f>COUNTIFS(Table1[The Six Conditions of Systems Change (WORK IN PROGRESS)],'Quant analysis'!DT$1,Table1[Level of influence],"subnational",Table1['# of quarters between first contribution statement ],'Quant analysis'!$DS25)+COUNTIFS(Table1[The Six Conditions of Systems Change (WORK IN PROGRESS)],'Quant analysis'!DT$1,Table1[Level of influence],"national",Table1['# of quarters between first contribution statement ],'Quant analysis'!$DS25)</f>
        <v>0</v>
      </c>
      <c r="DU25" s="129">
        <f>COUNTIFS(Table1[The Six Conditions of Systems Change (WORK IN PROGRESS)],'Quant analysis'!DU$1,Table1[Level of influence],"subnational",Table1['# of quarters between first contribution statement ],'Quant analysis'!$DS25)+COUNTIFS(Table1[The Six Conditions of Systems Change (WORK IN PROGRESS)],'Quant analysis'!DU$1,Table1[Level of influence],"national",Table1['# of quarters between first contribution statement ],'Quant analysis'!$DS25)</f>
        <v>0</v>
      </c>
      <c r="DV25" s="129">
        <f>COUNTIFS(Table1[The Six Conditions of Systems Change (WORK IN PROGRESS)],'Quant analysis'!DV$1,Table1[Level of influence],"subnational",Table1['# of quarters between first contribution statement ],'Quant analysis'!$DS25)+COUNTIFS(Table1[The Six Conditions of Systems Change (WORK IN PROGRESS)],'Quant analysis'!DV$1,Table1[Level of influence],"national",Table1['# of quarters between first contribution statement ],'Quant analysis'!$DS25)</f>
        <v>0</v>
      </c>
      <c r="DW25" s="129">
        <f>COUNTIFS(Table1[The Six Conditions of Systems Change (WORK IN PROGRESS)],'Quant analysis'!DW$1,Table1[Level of influence],"subnational",Table1['# of quarters between first contribution statement ],'Quant analysis'!$DS25)+COUNTIFS(Table1[The Six Conditions of Systems Change (WORK IN PROGRESS)],'Quant analysis'!DW$1,Table1[Level of influence],"national",Table1['# of quarters between first contribution statement ],'Quant analysis'!$DS25)</f>
        <v>0</v>
      </c>
      <c r="DX25" s="129">
        <f>COUNTIFS(Table1[The Six Conditions of Systems Change (WORK IN PROGRESS)],'Quant analysis'!DX$1,Table1[Level of influence],"subnational",Table1['# of quarters between first contribution statement ],'Quant analysis'!$DS25)+COUNTIFS(Table1[The Six Conditions of Systems Change (WORK IN PROGRESS)],'Quant analysis'!DX$1,Table1[Level of influence],"national",Table1['# of quarters between first contribution statement ],'Quant analysis'!$DS25)</f>
        <v>0</v>
      </c>
      <c r="DY25" s="129">
        <f>COUNTIFS(Table1[The Six Conditions of Systems Change (WORK IN PROGRESS)],'Quant analysis'!DY$1,Table1[Level of influence],"subnational",Table1['# of quarters between first contribution statement ],'Quant analysis'!$DS25)+COUNTIFS(Table1[The Six Conditions of Systems Change (WORK IN PROGRESS)],'Quant analysis'!DY$1,Table1[Level of influence],"national",Table1['# of quarters between first contribution statement ],'Quant analysis'!$DS25)</f>
        <v>0</v>
      </c>
      <c r="DZ25" s="129"/>
      <c r="EA25" s="130"/>
      <c r="EB25" s="129" t="s">
        <v>8</v>
      </c>
      <c r="EC25" s="129">
        <f>COUNTIFS(Table1[Country/ Region/ Global],'Quant analysis'!$EC$18,Table1[The Six Conditions of Systems Change (WORK IN PROGRESS)],'Quant analysis'!EB25,Table1[Outcome FY],'Quant analysis'!EC$19)</f>
        <v>0</v>
      </c>
      <c r="ED25" s="129">
        <f>COUNTIFS(Table1[Country/ Region/ Global],'Quant analysis'!$EC$18,Table1[The Six Conditions of Systems Change (WORK IN PROGRESS)],'Quant analysis'!EB25,Table1[Outcome FY],'Quant analysis'!ED$19)</f>
        <v>0</v>
      </c>
      <c r="EE25" s="129">
        <f>COUNTIFS(Table1[Country/ Region/ Global],'Quant analysis'!$EC$18,Table1[The Six Conditions of Systems Change (WORK IN PROGRESS)],'Quant analysis'!$EB25,Table1[Outcome FY],'Quant analysis'!EE$19)</f>
        <v>0</v>
      </c>
      <c r="EF25" s="129">
        <f>COUNTIFS(Table1[Country/ Region/ Global],'Quant analysis'!$EC$18,Table1[The Six Conditions of Systems Change (WORK IN PROGRESS)],'Quant analysis'!$EB25,Table1[Outcome FY],'Quant analysis'!EF$19)</f>
        <v>0</v>
      </c>
      <c r="EG25" s="129">
        <f>COUNTIFS(Table1[Country/ Region/ Global],'Quant analysis'!$EC$18,Table1[The Six Conditions of Systems Change (WORK IN PROGRESS)],'Quant analysis'!$EB25,Table1[Outcome FY],'Quant analysis'!EG$19)</f>
        <v>0</v>
      </c>
      <c r="EH25" s="129">
        <f>COUNTIFS(Table1[Country/ Region/ Global],'Quant analysis'!$EC$18,Table1[The Six Conditions of Systems Change (WORK IN PROGRESS)],'Quant analysis'!$EB25,Table1[Outcome FY],'Quant analysis'!EH$19)</f>
        <v>0</v>
      </c>
      <c r="EI25" s="129">
        <f>COUNTIFS(Table1[Country/ Region/ Global],'Quant analysis'!$EC$18,Table1[The Six Conditions of Systems Change (WORK IN PROGRESS)],'Quant analysis'!$EB25,Table1[Outcome FY],'Quant analysis'!EI$19)</f>
        <v>0</v>
      </c>
      <c r="EJ25" s="129">
        <f t="shared" si="15"/>
        <v>0</v>
      </c>
      <c r="EK25" s="130"/>
      <c r="EL25" s="130"/>
      <c r="EM25" s="129" t="s">
        <v>8</v>
      </c>
      <c r="EN25" s="129">
        <f>COUNTIFS(Table1[Country/ Region/ Global],'Quant analysis'!$EN$18,Table1[The Six Conditions of Systems Change (WORK IN PROGRESS)],'Quant analysis'!$EB25,Table1[Outcome FY],'Quant analysis'!EN$19)</f>
        <v>0</v>
      </c>
      <c r="EO25" s="129">
        <f>COUNTIFS(Table1[Country/ Region/ Global],'Quant analysis'!$EN$18,Table1[The Six Conditions of Systems Change (WORK IN PROGRESS)],'Quant analysis'!$EB25,Table1[Outcome FY],'Quant analysis'!EO$19)</f>
        <v>0</v>
      </c>
      <c r="EP25" s="129">
        <f>COUNTIFS(Table1[Country/ Region/ Global],'Quant analysis'!$EN$18,Table1[The Six Conditions of Systems Change (WORK IN PROGRESS)],'Quant analysis'!$EB25,Table1[Outcome FY],'Quant analysis'!EP$19)</f>
        <v>0</v>
      </c>
      <c r="EQ25" s="129">
        <f>COUNTIFS(Table1[Country/ Region/ Global],'Quant analysis'!$EN$18,Table1[The Six Conditions of Systems Change (WORK IN PROGRESS)],'Quant analysis'!$EB25,Table1[Outcome FY],'Quant analysis'!EQ$19)</f>
        <v>0</v>
      </c>
      <c r="ER25" s="129">
        <f>COUNTIFS(Table1[Country/ Region/ Global],'Quant analysis'!$EN$18,Table1[The Six Conditions of Systems Change (WORK IN PROGRESS)],'Quant analysis'!$EB25,Table1[Outcome FY],'Quant analysis'!ER$19)</f>
        <v>0</v>
      </c>
      <c r="ES25" s="129">
        <f>COUNTIFS(Table1[Country/ Region/ Global],'Quant analysis'!$EN$18,Table1[The Six Conditions of Systems Change (WORK IN PROGRESS)],'Quant analysis'!$EB25,Table1[Outcome FY],'Quant analysis'!ES$19)</f>
        <v>0</v>
      </c>
      <c r="ET25" s="129">
        <f>COUNTIFS(Table1[Country/ Region/ Global],'Quant analysis'!$EN$18,Table1[The Six Conditions of Systems Change (WORK IN PROGRESS)],'Quant analysis'!$EB25,Table1[Outcome FY],'Quant analysis'!ET$19)</f>
        <v>0</v>
      </c>
      <c r="EU25" s="129">
        <f t="shared" si="16"/>
        <v>0</v>
      </c>
      <c r="EV25" s="130"/>
      <c r="EW25" s="129" t="s">
        <v>8</v>
      </c>
      <c r="EX25" s="129">
        <f>COUNTIFS(Table1[Country/ Region/ Global],'Quant analysis'!$EX$18,Table1[The Six Conditions of Systems Change (WORK IN PROGRESS)],'Quant analysis'!$EB25,Table1[Outcome FY],'Quant analysis'!EX$19)</f>
        <v>0</v>
      </c>
      <c r="EY25" s="129">
        <f>COUNTIFS(Table1[Country/ Region/ Global],'Quant analysis'!$EX$18,Table1[The Six Conditions of Systems Change (WORK IN PROGRESS)],'Quant analysis'!$EB25,Table1[Outcome FY],'Quant analysis'!EY$19)</f>
        <v>0</v>
      </c>
      <c r="EZ25" s="129">
        <f>COUNTIFS(Table1[Country/ Region/ Global],'Quant analysis'!$EX$18,Table1[The Six Conditions of Systems Change (WORK IN PROGRESS)],'Quant analysis'!$EB25,Table1[Outcome FY],'Quant analysis'!EZ$19)</f>
        <v>0</v>
      </c>
      <c r="FA25" s="129">
        <f>COUNTIFS(Table1[Country/ Region/ Global],'Quant analysis'!$EX$18,Table1[The Six Conditions of Systems Change (WORK IN PROGRESS)],'Quant analysis'!$EB25,Table1[Outcome FY],'Quant analysis'!FA$19)</f>
        <v>0</v>
      </c>
      <c r="FB25" s="129">
        <f>COUNTIFS(Table1[Country/ Region/ Global],'Quant analysis'!$EX$18,Table1[The Six Conditions of Systems Change (WORK IN PROGRESS)],'Quant analysis'!$EB25,Table1[Outcome FY],'Quant analysis'!FB$19)</f>
        <v>0</v>
      </c>
      <c r="FC25" s="129">
        <f>COUNTIFS(Table1[Country/ Region/ Global],'Quant analysis'!$EX$18,Table1[The Six Conditions of Systems Change (WORK IN PROGRESS)],'Quant analysis'!$EB25,Table1[Outcome FY],'Quant analysis'!FC$19)</f>
        <v>0</v>
      </c>
      <c r="FD25" s="129">
        <f>COUNTIFS(Table1[Country/ Region/ Global],'Quant analysis'!$EX$18,Table1[The Six Conditions of Systems Change (WORK IN PROGRESS)],'Quant analysis'!$EB25,Table1[Outcome FY],'Quant analysis'!FD$19)</f>
        <v>0</v>
      </c>
      <c r="FE25" s="129">
        <f t="shared" si="17"/>
        <v>0</v>
      </c>
    </row>
    <row r="26" spans="1:161" x14ac:dyDescent="0.2">
      <c r="A26" s="130"/>
      <c r="B26" s="130"/>
      <c r="C26" s="130"/>
      <c r="D26" s="130"/>
      <c r="E26" s="130"/>
      <c r="F26" s="130"/>
      <c r="G26" s="130"/>
      <c r="H26" s="130"/>
      <c r="I26" s="130"/>
      <c r="J26" s="130"/>
      <c r="K26" s="130"/>
      <c r="L26" s="130"/>
      <c r="M26" s="130"/>
      <c r="N26" s="130"/>
      <c r="O26" s="130"/>
      <c r="P26" s="130"/>
      <c r="Q26" s="130"/>
      <c r="R26" s="130" t="s">
        <v>271</v>
      </c>
      <c r="S26" s="130" t="s">
        <v>236</v>
      </c>
      <c r="T26" s="129" t="s">
        <v>198</v>
      </c>
      <c r="U26" s="129">
        <f>COUNTIF(Outcomes!$L:$L,'Quant analysis'!$T26)</f>
        <v>0</v>
      </c>
      <c r="V26" s="19">
        <f>COUNTIFS(Outcomes!$L:$L,'Quant analysis'!$T26,Outcomes!$Q:$Q,V$1)</f>
        <v>0</v>
      </c>
      <c r="W26" s="19">
        <f>COUNTIFS(Outcomes!$L:$L,'Quant analysis'!$T26,Outcomes!$Q:$Q,W$1)</f>
        <v>0</v>
      </c>
      <c r="X26" s="19">
        <f>COUNTIFS(Outcomes!$L:$L,'Quant analysis'!$T26,Outcomes!$Q:$Q,X$1)</f>
        <v>0</v>
      </c>
      <c r="Y26" s="19">
        <f>COUNTIFS(Outcomes!$L:$L,'Quant analysis'!$T26,Outcomes!$Q:$Q,Y$1)</f>
        <v>0</v>
      </c>
      <c r="Z26" s="19">
        <f>COUNTIFS(Outcomes!$L:$L,'Quant analysis'!$T26,Outcomes!$Q:$Q,Z$1)</f>
        <v>0</v>
      </c>
      <c r="AA26" s="105">
        <f>COUNTIFS(Outcomes!$L:$L,'Quant analysis'!$T26,Outcomes!$Q:$Q,AA$1)</f>
        <v>0</v>
      </c>
      <c r="AB26" s="105">
        <f>COUNTIFS(Outcomes!$L:$L,'Quant analysis'!$T26,Outcomes!$Q:$Q,AB$1)</f>
        <v>0</v>
      </c>
      <c r="AC26" s="105">
        <f>COUNTIFS(Outcomes!$L:$L,'Quant analysis'!$T26,Outcomes!$Q:$Q,AC$1)</f>
        <v>0</v>
      </c>
      <c r="AD26" s="105">
        <f>COUNTIFS(Outcomes!$L:$L,'Quant analysis'!$T26,Outcomes!$Q:$Q,AD$1)</f>
        <v>0</v>
      </c>
      <c r="AE26" s="130">
        <f t="shared" si="0"/>
        <v>0</v>
      </c>
      <c r="AF26" s="130"/>
      <c r="AG26" s="130" t="s">
        <v>111</v>
      </c>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29" t="s">
        <v>242</v>
      </c>
      <c r="BU26" s="129" t="s">
        <v>143</v>
      </c>
      <c r="BV26" s="68">
        <f>COUNTIF(Outcomes!U:Y,'Quant analysis'!BU26)</f>
        <v>0</v>
      </c>
      <c r="BW26" s="19">
        <f>COUNTIFS(Outcomes!$U:$U,'Quant analysis'!$BU26,Outcomes!$Q:$Q,BW$1)+COUNTIFS(Outcomes!$V:$V,'Quant analysis'!$BU26,Outcomes!$Q:$Q,BW$1)+COUNTIFS(Outcomes!$W:$W,'Quant analysis'!$BU26,Outcomes!$Q:$Q,BW$1)+COUNTIFS(Outcomes!$X:$X,'Quant analysis'!$BU26,Outcomes!$Q:$Q,BW$1)+COUNTIFS(Outcomes!$Y:$Y,'Quant analysis'!$BU26,Outcomes!$Q:$Q,BW$1)</f>
        <v>0</v>
      </c>
      <c r="BX26" s="19">
        <f>COUNTIFS(Outcomes!$U:$U,'Quant analysis'!$BU26,Outcomes!$Q:$Q,BX$1)+COUNTIFS(Outcomes!$V:$V,'Quant analysis'!$BU26,Outcomes!$Q:$Q,BX$1)+COUNTIFS(Outcomes!$W:$W,'Quant analysis'!$BU26,Outcomes!$Q:$Q,BX$1)+COUNTIFS(Outcomes!$X:$X,'Quant analysis'!$BU26,Outcomes!$Q:$Q,BX$1)+COUNTIFS(Outcomes!$Y:$Y,'Quant analysis'!$BU26,Outcomes!$Q:$Q,BX$1)</f>
        <v>0</v>
      </c>
      <c r="BY26" s="19">
        <f>COUNTIFS(Outcomes!$U:$U,'Quant analysis'!$BU26,Outcomes!$Q:$Q,BY$1)+COUNTIFS(Outcomes!$V:$V,'Quant analysis'!$BU26,Outcomes!$Q:$Q,BY$1)+COUNTIFS(Outcomes!$W:$W,'Quant analysis'!$BU26,Outcomes!$Q:$Q,BY$1)+COUNTIFS(Outcomes!$X:$X,'Quant analysis'!$BU26,Outcomes!$Q:$Q,BY$1)+COUNTIFS(Outcomes!$Y:$Y,'Quant analysis'!$BU26,Outcomes!$Q:$Q,BY$1)</f>
        <v>0</v>
      </c>
      <c r="BZ26" s="19">
        <f>COUNTIFS(Outcomes!$U:$U,'Quant analysis'!$BU26,Outcomes!$Q:$Q,BZ$1)+COUNTIFS(Outcomes!$V:$V,'Quant analysis'!$BU26,Outcomes!$Q:$Q,BZ$1)+COUNTIFS(Outcomes!$W:$W,'Quant analysis'!$BU26,Outcomes!$Q:$Q,BZ$1)+COUNTIFS(Outcomes!$X:$X,'Quant analysis'!$BU26,Outcomes!$Q:$Q,BZ$1)+COUNTIFS(Outcomes!$Y:$Y,'Quant analysis'!$BU26,Outcomes!$Q:$Q,BZ$1)</f>
        <v>0</v>
      </c>
      <c r="CA26" s="19">
        <f>COUNTIFS(Outcomes!$U:$U,'Quant analysis'!$BU26,Outcomes!$Q:$Q,CA$1)+COUNTIFS(Outcomes!$V:$V,'Quant analysis'!$BU26,Outcomes!$Q:$Q,CA$1)+COUNTIFS(Outcomes!$W:$W,'Quant analysis'!$BU26,Outcomes!$Q:$Q,CA$1)+COUNTIFS(Outcomes!$X:$X,'Quant analysis'!$BU26,Outcomes!$Q:$Q,CA$1)+COUNTIFS(Outcomes!$Y:$Y,'Quant analysis'!$BU26,Outcomes!$Q:$Q,CA$1)</f>
        <v>0</v>
      </c>
      <c r="CB26" s="105">
        <f>COUNTIFS(Outcomes!$U:$U,'Quant analysis'!$BU26,Outcomes!$Q:$Q,CB$1)+COUNTIFS(Outcomes!$V:$V,'Quant analysis'!$BU26,Outcomes!$Q:$Q,CB$1)+COUNTIFS(Outcomes!$W:$W,'Quant analysis'!$BU26,Outcomes!$Q:$Q,CB$1)+COUNTIFS(Outcomes!$X:$X,'Quant analysis'!$BU26,Outcomes!$Q:$Q,CB$1)+COUNTIFS(Outcomes!$Y:$Y,'Quant analysis'!$BU26,Outcomes!$Q:$Q,CB$1)</f>
        <v>0</v>
      </c>
      <c r="CC26" s="105">
        <f>COUNTIFS(Outcomes!$U:$U,'Quant analysis'!$BU26,Outcomes!$Q:$Q,CC$1)+COUNTIFS(Outcomes!$V:$V,'Quant analysis'!$BU26,Outcomes!$Q:$Q,CC$1)+COUNTIFS(Outcomes!$W:$W,'Quant analysis'!$BU26,Outcomes!$Q:$Q,CC$1)+COUNTIFS(Outcomes!$X:$X,'Quant analysis'!$BU26,Outcomes!$Q:$Q,CC$1)+COUNTIFS(Outcomes!$Y:$Y,'Quant analysis'!$BU26,Outcomes!$Q:$Q,CC$1)</f>
        <v>0</v>
      </c>
      <c r="CD26" s="105">
        <f>COUNTIFS(Outcomes!$U:$U,'Quant analysis'!$BU26,Outcomes!$Q:$Q,CD$1)+COUNTIFS(Outcomes!$V:$V,'Quant analysis'!$BU26,Outcomes!$Q:$Q,CD$1)+COUNTIFS(Outcomes!$W:$W,'Quant analysis'!$BU26,Outcomes!$Q:$Q,CD$1)+COUNTIFS(Outcomes!$X:$X,'Quant analysis'!$BU26,Outcomes!$Q:$Q,CD$1)+COUNTIFS(Outcomes!$Y:$Y,'Quant analysis'!$BU26,Outcomes!$Q:$Q,CD$1)</f>
        <v>0</v>
      </c>
      <c r="CE26" s="105">
        <f>COUNTIFS(Outcomes!$U:$U,'Quant analysis'!$BU26,Outcomes!$Q:$Q,CE$1)+COUNTIFS(Outcomes!$V:$V,'Quant analysis'!$BU26,Outcomes!$Q:$Q,CE$1)+COUNTIFS(Outcomes!$W:$W,'Quant analysis'!$BU26,Outcomes!$Q:$Q,CE$1)+COUNTIFS(Outcomes!$X:$X,'Quant analysis'!$BU26,Outcomes!$Q:$Q,CE$1)+COUNTIFS(Outcomes!$Y:$Y,'Quant analysis'!$BU26,Outcomes!$Q:$Q,CE$1)</f>
        <v>0</v>
      </c>
      <c r="CF26" s="129">
        <f t="shared" si="4"/>
        <v>0</v>
      </c>
      <c r="CG26" s="130"/>
      <c r="CH26" s="130"/>
      <c r="CI26" s="130"/>
      <c r="CJ26" s="130"/>
      <c r="CK26" s="130"/>
      <c r="CL26" s="130"/>
      <c r="CM26" s="130"/>
      <c r="CN26" s="130"/>
      <c r="CO26" s="130"/>
      <c r="CP26" s="130"/>
      <c r="CQ26" s="130"/>
      <c r="CR26" s="130"/>
      <c r="CS26" s="130"/>
      <c r="CT26" s="130"/>
      <c r="CU26" s="130"/>
      <c r="CV26" s="131"/>
      <c r="CW26" s="130"/>
      <c r="CX26" s="130"/>
      <c r="CY26" s="130"/>
      <c r="CZ26" s="130"/>
      <c r="DA26" s="130"/>
      <c r="DB26" s="130"/>
      <c r="DC26" s="130"/>
      <c r="DD26" s="130"/>
      <c r="DE26" s="130">
        <f>SUM(DE20:DE25)</f>
        <v>0</v>
      </c>
      <c r="DF26" s="130"/>
      <c r="DG26" s="130"/>
      <c r="DH26" s="129" t="s">
        <v>242</v>
      </c>
      <c r="DI26" s="129" t="s">
        <v>143</v>
      </c>
      <c r="DJ26" s="68">
        <f t="shared" si="7"/>
        <v>0</v>
      </c>
      <c r="DK26" s="19">
        <f>COUNTIFS(Table1[Level of influence],"subnational",Table1[The Six Conditions of Systems Change (WORK IN PROGRESS)],"Policies",Table1[Output contribution 1],'Quant analysis'!DI26)+COUNTIFS(Table1[Level of influence],"subnational",Table1[The Six Conditions of Systems Change (WORK IN PROGRESS)],"Policies",Table1[Output contribution 2],'Quant analysis'!DI26)+COUNTIFS(Table1[Level of influence],"subnational",Table1[The Six Conditions of Systems Change (WORK IN PROGRESS)],"Policies",Table1[Output contribution 3],'Quant analysis'!DI26)+COUNTIFS(Table1[Level of influence],"subnational",Table1[The Six Conditions of Systems Change (WORK IN PROGRESS)],"Policies",Table1[Output contribution 4],'Quant analysis'!DI26)+COUNTIFS(Table1[Level of influence],"subnational",Table1[The Six Conditions of Systems Change (WORK IN PROGRESS)],"Policies",Table1[Output contribution 5],'Quant analysis'!DI26)+COUNTIFS(Table1[Level of influence],"national",Table1[The Six Conditions of Systems Change (WORK IN PROGRESS)],"Policies",Table1[Output contribution 1],'Quant analysis'!DI26)+COUNTIFS(Table1[Level of influence],"national",Table1[The Six Conditions of Systems Change (WORK IN PROGRESS)],"Policies",Table1[Output contribution 2],'Quant analysis'!DI26)+COUNTIFS(Table1[Level of influence],"national",Table1[The Six Conditions of Systems Change (WORK IN PROGRESS)],"Policies",Table1[Output contribution 3],'Quant analysis'!DI26)+COUNTIFS(Table1[Level of influence],"national",Table1[The Six Conditions of Systems Change (WORK IN PROGRESS)],"Policies",Table1[Output contribution 4],'Quant analysis'!DI26)+COUNTIFS(Table1[Level of influence],"national",Table1[The Six Conditions of Systems Change (WORK IN PROGRESS)],"Policies",Table1[Output contribution 5],'Quant analysis'!DI26)</f>
        <v>0</v>
      </c>
      <c r="DL26" s="19">
        <f>COUNTIFS(Table1[Level of influence],"subnational",Table1[The Six Conditions of Systems Change (WORK IN PROGRESS)],"Practices",Table1[Output contribution 1],'Quant analysis'!$DI26)+COUNTIFS(Table1[Level of influence],"subnational",Table1[The Six Conditions of Systems Change (WORK IN PROGRESS)],"Practices",Table1[Output contribution 2],'Quant analysis'!$DI26)+COUNTIFS(Table1[Level of influence],"subnational",Table1[The Six Conditions of Systems Change (WORK IN PROGRESS)],"Practices",Table1[Output contribution 3],'Quant analysis'!$DI26)+COUNTIFS(Table1[Level of influence],"subnational",Table1[The Six Conditions of Systems Change (WORK IN PROGRESS)],"Practices",Table1[Output contribution 4],'Quant analysis'!$DI26)+COUNTIFS(Table1[Level of influence],"subnational",Table1[The Six Conditions of Systems Change (WORK IN PROGRESS)],"Practices",Table1[Output contribution 5],'Quant analysis'!$DI26)+COUNTIFS(Table1[Level of influence],"national",Table1[The Six Conditions of Systems Change (WORK IN PROGRESS)],"Practices",Table1[Output contribution 1],'Quant analysis'!$DI26)+COUNTIFS(Table1[Level of influence],"national",Table1[The Six Conditions of Systems Change (WORK IN PROGRESS)],"Practices",Table1[Output contribution 2],'Quant analysis'!$DI26)+COUNTIFS(Table1[Level of influence],"national",Table1[The Six Conditions of Systems Change (WORK IN PROGRESS)],"Practices",Table1[Output contribution 3],'Quant analysis'!$DI26)+COUNTIFS(Table1[Level of influence],"national",Table1[The Six Conditions of Systems Change (WORK IN PROGRESS)],"Practices",Table1[Output contribution 4],'Quant analysis'!$DI26)+COUNTIFS(Table1[Level of influence],"national",Table1[The Six Conditions of Systems Change (WORK IN PROGRESS)],"Practices",Table1[Output contribution 5],'Quant analysis'!$DI26)</f>
        <v>0</v>
      </c>
      <c r="DM26" s="19">
        <f>COUNTIFS(Table1[Level of influence],"subnational",Table1[The Six Conditions of Systems Change (WORK IN PROGRESS)],DM$1,Table1[Output contribution 1],'Quant analysis'!$DI26)+COUNTIFS(Table1[Level of influence],"subnational",Table1[The Six Conditions of Systems Change (WORK IN PROGRESS)],DM$1,Table1[Output contribution 2],'Quant analysis'!$DI26)+COUNTIFS(Table1[Level of influence],"subnational",Table1[The Six Conditions of Systems Change (WORK IN PROGRESS)],DM$1,Table1[Output contribution 3],'Quant analysis'!$DI26)+COUNTIFS(Table1[Level of influence],"subnational",Table1[The Six Conditions of Systems Change (WORK IN PROGRESS)],DM$1,Table1[Output contribution 4],'Quant analysis'!$DI26)+COUNTIFS(Table1[Level of influence],"subnational",Table1[The Six Conditions of Systems Change (WORK IN PROGRESS)],DM$1,Table1[Output contribution 5],'Quant analysis'!$DI26)+COUNTIFS(Table1[Level of influence],"national",Table1[The Six Conditions of Systems Change (WORK IN PROGRESS)],DM$1,Table1[Output contribution 1],'Quant analysis'!$DI26)+COUNTIFS(Table1[Level of influence],"national",Table1[The Six Conditions of Systems Change (WORK IN PROGRESS)],DM$1,Table1[Output contribution 2],'Quant analysis'!$DI26)+COUNTIFS(Table1[Level of influence],"national",Table1[The Six Conditions of Systems Change (WORK IN PROGRESS)],DM$1,Table1[Output contribution 3],'Quant analysis'!$DI26)+COUNTIFS(Table1[Level of influence],"national",Table1[The Six Conditions of Systems Change (WORK IN PROGRESS)],DM$1,Table1[Output contribution 4],'Quant analysis'!$DI26)+COUNTIFS(Table1[Level of influence],"national",Table1[The Six Conditions of Systems Change (WORK IN PROGRESS)],DM$1,Table1[Output contribution 5],'Quant analysis'!$DI26)</f>
        <v>0</v>
      </c>
      <c r="DN26" s="19">
        <f>COUNTIFS(Table1[Level of influence],"subnational",Table1[The Six Conditions of Systems Change (WORK IN PROGRESS)],DN$1,Table1[Output contribution 1],'Quant analysis'!$DI26)+COUNTIFS(Table1[Level of influence],"subnational",Table1[The Six Conditions of Systems Change (WORK IN PROGRESS)],DN$1,Table1[Output contribution 2],'Quant analysis'!$DI26)+COUNTIFS(Table1[Level of influence],"subnational",Table1[The Six Conditions of Systems Change (WORK IN PROGRESS)],DN$1,Table1[Output contribution 3],'Quant analysis'!$DI26)+COUNTIFS(Table1[Level of influence],"subnational",Table1[The Six Conditions of Systems Change (WORK IN PROGRESS)],DN$1,Table1[Output contribution 4],'Quant analysis'!$DI26)+COUNTIFS(Table1[Level of influence],"subnational",Table1[The Six Conditions of Systems Change (WORK IN PROGRESS)],DN$1,Table1[Output contribution 5],'Quant analysis'!$DI26)+COUNTIFS(Table1[Level of influence],"national",Table1[The Six Conditions of Systems Change (WORK IN PROGRESS)],DN$1,Table1[Output contribution 1],'Quant analysis'!$DI26)+COUNTIFS(Table1[Level of influence],"national",Table1[The Six Conditions of Systems Change (WORK IN PROGRESS)],DN$1,Table1[Output contribution 2],'Quant analysis'!$DI26)+COUNTIFS(Table1[Level of influence],"national",Table1[The Six Conditions of Systems Change (WORK IN PROGRESS)],DN$1,Table1[Output contribution 3],'Quant analysis'!$DI26)+COUNTIFS(Table1[Level of influence],"national",Table1[The Six Conditions of Systems Change (WORK IN PROGRESS)],DN$1,Table1[Output contribution 4],'Quant analysis'!$DI26)+COUNTIFS(Table1[Level of influence],"national",Table1[The Six Conditions of Systems Change (WORK IN PROGRESS)],DN$1,Table1[Output contribution 5],'Quant analysis'!$DI26)</f>
        <v>0</v>
      </c>
      <c r="DO26" s="19">
        <f>COUNTIFS(Table1[Level of influence],"subnational",Table1[The Six Conditions of Systems Change (WORK IN PROGRESS)],DO$1,Table1[Output contribution 1],'Quant analysis'!$DI26)+COUNTIFS(Table1[Level of influence],"subnational",Table1[The Six Conditions of Systems Change (WORK IN PROGRESS)],DO$1,Table1[Output contribution 2],'Quant analysis'!$DI26)+COUNTIFS(Table1[Level of influence],"subnational",Table1[The Six Conditions of Systems Change (WORK IN PROGRESS)],DO$1,Table1[Output contribution 3],'Quant analysis'!$DI26)+COUNTIFS(Table1[Level of influence],"subnational",Table1[The Six Conditions of Systems Change (WORK IN PROGRESS)],DO$1,Table1[Output contribution 4],'Quant analysis'!$DI26)+COUNTIFS(Table1[Level of influence],"subnational",Table1[The Six Conditions of Systems Change (WORK IN PROGRESS)],DO$1,Table1[Output contribution 5],'Quant analysis'!$DI26)+COUNTIFS(Table1[Level of influence],"national",Table1[The Six Conditions of Systems Change (WORK IN PROGRESS)],DO$1,Table1[Output contribution 1],'Quant analysis'!$DI26)+COUNTIFS(Table1[Level of influence],"national",Table1[The Six Conditions of Systems Change (WORK IN PROGRESS)],DO$1,Table1[Output contribution 2],'Quant analysis'!$DI26)+COUNTIFS(Table1[Level of influence],"national",Table1[The Six Conditions of Systems Change (WORK IN PROGRESS)],DO$1,Table1[Output contribution 3],'Quant analysis'!$DI26)+COUNTIFS(Table1[Level of influence],"national",Table1[The Six Conditions of Systems Change (WORK IN PROGRESS)],DO$1,Table1[Output contribution 4],'Quant analysis'!$DI26)+COUNTIFS(Table1[Level of influence],"national",Table1[The Six Conditions of Systems Change (WORK IN PROGRESS)],DO$1,Table1[Output contribution 5],'Quant analysis'!$DI26)</f>
        <v>0</v>
      </c>
      <c r="DP26" s="19">
        <f>COUNTIFS(Table1[Level of influence],"subnational",Table1[The Six Conditions of Systems Change (WORK IN PROGRESS)],DP$1,Table1[Output contribution 1],'Quant analysis'!$DI26)+COUNTIFS(Table1[Level of influence],"subnational",Table1[The Six Conditions of Systems Change (WORK IN PROGRESS)],DP$1,Table1[Output contribution 2],'Quant analysis'!$DI26)+COUNTIFS(Table1[Level of influence],"subnational",Table1[The Six Conditions of Systems Change (WORK IN PROGRESS)],DP$1,Table1[Output contribution 3],'Quant analysis'!$DI26)+COUNTIFS(Table1[Level of influence],"subnational",Table1[The Six Conditions of Systems Change (WORK IN PROGRESS)],DP$1,Table1[Output contribution 4],'Quant analysis'!$DI26)+COUNTIFS(Table1[Level of influence],"subnational",Table1[The Six Conditions of Systems Change (WORK IN PROGRESS)],DP$1,Table1[Output contribution 5],'Quant analysis'!$DI26)+COUNTIFS(Table1[Level of influence],"national",Table1[The Six Conditions of Systems Change (WORK IN PROGRESS)],DP$1,Table1[Output contribution 1],'Quant analysis'!$DI26)+COUNTIFS(Table1[Level of influence],"national",Table1[The Six Conditions of Systems Change (WORK IN PROGRESS)],DP$1,Table1[Output contribution 2],'Quant analysis'!$DI26)+COUNTIFS(Table1[Level of influence],"national",Table1[The Six Conditions of Systems Change (WORK IN PROGRESS)],DP$1,Table1[Output contribution 3],'Quant analysis'!$DI26)+COUNTIFS(Table1[Level of influence],"national",Table1[The Six Conditions of Systems Change (WORK IN PROGRESS)],DP$1,Table1[Output contribution 4],'Quant analysis'!$DI26)+COUNTIFS(Table1[Level of influence],"national",Table1[The Six Conditions of Systems Change (WORK IN PROGRESS)],DP$1,Table1[Output contribution 5],'Quant analysis'!$DI26)</f>
        <v>0</v>
      </c>
      <c r="DQ26" s="130"/>
      <c r="DR26" s="130"/>
      <c r="DS26" s="157" t="s">
        <v>280</v>
      </c>
      <c r="DT26" s="129">
        <f>COUNTIFS(Table1[The Six Conditions of Systems Change (WORK IN PROGRESS)],'Quant analysis'!DT$1,Table1[Level of influence],"subnational",Table1['# of quarters between first contribution statement ],'Quant analysis'!$DS26)+COUNTIFS(Table1[The Six Conditions of Systems Change (WORK IN PROGRESS)],'Quant analysis'!DT$1,Table1[Level of influence],"national",Table1['# of quarters between first contribution statement ],'Quant analysis'!$DS26)</f>
        <v>0</v>
      </c>
      <c r="DU26" s="129">
        <f>COUNTIFS(Table1[The Six Conditions of Systems Change (WORK IN PROGRESS)],'Quant analysis'!DU$1,Table1[Level of influence],"subnational",Table1['# of quarters between first contribution statement ],'Quant analysis'!$DS26)+COUNTIFS(Table1[The Six Conditions of Systems Change (WORK IN PROGRESS)],'Quant analysis'!DU$1,Table1[Level of influence],"national",Table1['# of quarters between first contribution statement ],'Quant analysis'!$DS26)</f>
        <v>0</v>
      </c>
      <c r="DV26" s="129">
        <f>COUNTIFS(Table1[The Six Conditions of Systems Change (WORK IN PROGRESS)],'Quant analysis'!DV$1,Table1[Level of influence],"subnational",Table1['# of quarters between first contribution statement ],'Quant analysis'!$DS26)+COUNTIFS(Table1[The Six Conditions of Systems Change (WORK IN PROGRESS)],'Quant analysis'!DV$1,Table1[Level of influence],"national",Table1['# of quarters between first contribution statement ],'Quant analysis'!$DS26)</f>
        <v>0</v>
      </c>
      <c r="DW26" s="129">
        <f>COUNTIFS(Table1[The Six Conditions of Systems Change (WORK IN PROGRESS)],'Quant analysis'!DW$1,Table1[Level of influence],"subnational",Table1['# of quarters between first contribution statement ],'Quant analysis'!$DS26)+COUNTIFS(Table1[The Six Conditions of Systems Change (WORK IN PROGRESS)],'Quant analysis'!DW$1,Table1[Level of influence],"national",Table1['# of quarters between first contribution statement ],'Quant analysis'!$DS26)</f>
        <v>0</v>
      </c>
      <c r="DX26" s="129">
        <f>COUNTIFS(Table1[The Six Conditions of Systems Change (WORK IN PROGRESS)],'Quant analysis'!DX$1,Table1[Level of influence],"subnational",Table1['# of quarters between first contribution statement ],'Quant analysis'!$DS26)+COUNTIFS(Table1[The Six Conditions of Systems Change (WORK IN PROGRESS)],'Quant analysis'!DX$1,Table1[Level of influence],"national",Table1['# of quarters between first contribution statement ],'Quant analysis'!$DS26)</f>
        <v>0</v>
      </c>
      <c r="DY26" s="129">
        <f>COUNTIFS(Table1[The Six Conditions of Systems Change (WORK IN PROGRESS)],'Quant analysis'!DY$1,Table1[Level of influence],"subnational",Table1['# of quarters between first contribution statement ],'Quant analysis'!$DS26)+COUNTIFS(Table1[The Six Conditions of Systems Change (WORK IN PROGRESS)],'Quant analysis'!DY$1,Table1[Level of influence],"national",Table1['# of quarters between first contribution statement ],'Quant analysis'!$DS26)</f>
        <v>0</v>
      </c>
      <c r="DZ26" s="129"/>
      <c r="EA26" s="130"/>
      <c r="EB26" s="129"/>
      <c r="EC26" s="129"/>
      <c r="ED26" s="129"/>
      <c r="EE26" s="129"/>
      <c r="EF26" s="129"/>
      <c r="EG26" s="129"/>
      <c r="EH26" s="129"/>
      <c r="EI26" s="129"/>
      <c r="EJ26" s="129">
        <f>SUM(EJ20:EJ25)</f>
        <v>0</v>
      </c>
      <c r="EK26" s="130"/>
      <c r="EL26" s="130"/>
      <c r="EM26" s="129"/>
      <c r="EN26" s="129"/>
      <c r="EO26" s="129"/>
      <c r="EP26" s="129"/>
      <c r="EQ26" s="129"/>
      <c r="ER26" s="129"/>
      <c r="ES26" s="129"/>
      <c r="ET26" s="129"/>
      <c r="EU26" s="129">
        <f>SUM(EU20:EU25)</f>
        <v>0</v>
      </c>
      <c r="EV26" s="130"/>
      <c r="EW26" s="129"/>
      <c r="EX26" s="129"/>
      <c r="EY26" s="129"/>
      <c r="EZ26" s="129"/>
      <c r="FA26" s="129"/>
      <c r="FB26" s="129"/>
      <c r="FC26" s="129"/>
      <c r="FD26" s="129"/>
      <c r="FE26" s="129">
        <f>SUM(FE20:FE25)</f>
        <v>0</v>
      </c>
    </row>
    <row r="27" spans="1:161" x14ac:dyDescent="0.2">
      <c r="A27" s="130"/>
      <c r="B27" s="130"/>
      <c r="C27" s="130"/>
      <c r="D27" s="130"/>
      <c r="E27" s="130"/>
      <c r="F27" s="130"/>
      <c r="G27" s="130"/>
      <c r="H27" s="130"/>
      <c r="I27" s="130"/>
      <c r="J27" s="130"/>
      <c r="K27" s="130"/>
      <c r="L27" s="130"/>
      <c r="M27" s="130"/>
      <c r="N27" s="130"/>
      <c r="O27" s="130"/>
      <c r="P27" s="130"/>
      <c r="Q27" s="130"/>
      <c r="R27" s="130"/>
      <c r="S27" s="130" t="s">
        <v>238</v>
      </c>
      <c r="T27" s="129" t="s">
        <v>281</v>
      </c>
      <c r="U27" s="129">
        <f>COUNTIF(Outcomes!$L:$L,'Quant analysis'!$T27)</f>
        <v>0</v>
      </c>
      <c r="V27" s="19">
        <f>COUNTIFS(Outcomes!$L:$L,'Quant analysis'!$T27,Outcomes!$Q:$Q,V$1)</f>
        <v>0</v>
      </c>
      <c r="W27" s="19">
        <f>COUNTIFS(Outcomes!$L:$L,'Quant analysis'!$T27,Outcomes!$Q:$Q,W$1)</f>
        <v>0</v>
      </c>
      <c r="X27" s="19">
        <f>COUNTIFS(Outcomes!$L:$L,'Quant analysis'!$T27,Outcomes!$Q:$Q,X$1)</f>
        <v>0</v>
      </c>
      <c r="Y27" s="19">
        <f>COUNTIFS(Outcomes!$L:$L,'Quant analysis'!$T27,Outcomes!$Q:$Q,Y$1)</f>
        <v>0</v>
      </c>
      <c r="Z27" s="19">
        <f>COUNTIFS(Outcomes!$L:$L,'Quant analysis'!$T27,Outcomes!$Q:$Q,Z$1)</f>
        <v>0</v>
      </c>
      <c r="AA27" s="105">
        <f>COUNTIFS(Outcomes!$L:$L,'Quant analysis'!$T27,Outcomes!$Q:$Q,AA$1)</f>
        <v>0</v>
      </c>
      <c r="AB27" s="105">
        <f>COUNTIFS(Outcomes!$L:$L,'Quant analysis'!$T27,Outcomes!$Q:$Q,AB$1)</f>
        <v>0</v>
      </c>
      <c r="AC27" s="105">
        <f>COUNTIFS(Outcomes!$L:$L,'Quant analysis'!$T27,Outcomes!$Q:$Q,AC$1)</f>
        <v>0</v>
      </c>
      <c r="AD27" s="105">
        <f>COUNTIFS(Outcomes!$L:$L,'Quant analysis'!$T27,Outcomes!$Q:$Q,AD$1)</f>
        <v>0</v>
      </c>
      <c r="AE27" s="130">
        <f t="shared" si="0"/>
        <v>0</v>
      </c>
      <c r="AF27" s="130"/>
      <c r="AG27" s="130" t="s">
        <v>349</v>
      </c>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29" t="s">
        <v>242</v>
      </c>
      <c r="BU27" s="129" t="s">
        <v>96</v>
      </c>
      <c r="BV27" s="68">
        <f>COUNTIF(Outcomes!U:Y,'Quant analysis'!BU27)</f>
        <v>0</v>
      </c>
      <c r="BW27" s="19">
        <f>COUNTIFS(Outcomes!$U:$U,'Quant analysis'!$BU27,Outcomes!$Q:$Q,BW$1)+COUNTIFS(Outcomes!$V:$V,'Quant analysis'!$BU27,Outcomes!$Q:$Q,BW$1)+COUNTIFS(Outcomes!$W:$W,'Quant analysis'!$BU27,Outcomes!$Q:$Q,BW$1)+COUNTIFS(Outcomes!$X:$X,'Quant analysis'!$BU27,Outcomes!$Q:$Q,BW$1)+COUNTIFS(Outcomes!$Y:$Y,'Quant analysis'!$BU27,Outcomes!$Q:$Q,BW$1)</f>
        <v>0</v>
      </c>
      <c r="BX27" s="19">
        <f>COUNTIFS(Outcomes!$U:$U,'Quant analysis'!$BU27,Outcomes!$Q:$Q,BX$1)+COUNTIFS(Outcomes!$V:$V,'Quant analysis'!$BU27,Outcomes!$Q:$Q,BX$1)+COUNTIFS(Outcomes!$W:$W,'Quant analysis'!$BU27,Outcomes!$Q:$Q,BX$1)+COUNTIFS(Outcomes!$X:$X,'Quant analysis'!$BU27,Outcomes!$Q:$Q,BX$1)+COUNTIFS(Outcomes!$Y:$Y,'Quant analysis'!$BU27,Outcomes!$Q:$Q,BX$1)</f>
        <v>0</v>
      </c>
      <c r="BY27" s="19">
        <f>COUNTIFS(Outcomes!$U:$U,'Quant analysis'!$BU27,Outcomes!$Q:$Q,BY$1)+COUNTIFS(Outcomes!$V:$V,'Quant analysis'!$BU27,Outcomes!$Q:$Q,BY$1)+COUNTIFS(Outcomes!$W:$W,'Quant analysis'!$BU27,Outcomes!$Q:$Q,BY$1)+COUNTIFS(Outcomes!$X:$X,'Quant analysis'!$BU27,Outcomes!$Q:$Q,BY$1)+COUNTIFS(Outcomes!$Y:$Y,'Quant analysis'!$BU27,Outcomes!$Q:$Q,BY$1)</f>
        <v>0</v>
      </c>
      <c r="BZ27" s="19">
        <f>COUNTIFS(Outcomes!$U:$U,'Quant analysis'!$BU27,Outcomes!$Q:$Q,BZ$1)+COUNTIFS(Outcomes!$V:$V,'Quant analysis'!$BU27,Outcomes!$Q:$Q,BZ$1)+COUNTIFS(Outcomes!$W:$W,'Quant analysis'!$BU27,Outcomes!$Q:$Q,BZ$1)+COUNTIFS(Outcomes!$X:$X,'Quant analysis'!$BU27,Outcomes!$Q:$Q,BZ$1)+COUNTIFS(Outcomes!$Y:$Y,'Quant analysis'!$BU27,Outcomes!$Q:$Q,BZ$1)</f>
        <v>0</v>
      </c>
      <c r="CA27" s="19">
        <f>COUNTIFS(Outcomes!$U:$U,'Quant analysis'!$BU27,Outcomes!$Q:$Q,CA$1)+COUNTIFS(Outcomes!$V:$V,'Quant analysis'!$BU27,Outcomes!$Q:$Q,CA$1)+COUNTIFS(Outcomes!$W:$W,'Quant analysis'!$BU27,Outcomes!$Q:$Q,CA$1)+COUNTIFS(Outcomes!$X:$X,'Quant analysis'!$BU27,Outcomes!$Q:$Q,CA$1)+COUNTIFS(Outcomes!$Y:$Y,'Quant analysis'!$BU27,Outcomes!$Q:$Q,CA$1)</f>
        <v>0</v>
      </c>
      <c r="CB27" s="105">
        <f>COUNTIFS(Outcomes!$U:$U,'Quant analysis'!$BU27,Outcomes!$Q:$Q,CB$1)+COUNTIFS(Outcomes!$V:$V,'Quant analysis'!$BU27,Outcomes!$Q:$Q,CB$1)+COUNTIFS(Outcomes!$W:$W,'Quant analysis'!$BU27,Outcomes!$Q:$Q,CB$1)+COUNTIFS(Outcomes!$X:$X,'Quant analysis'!$BU27,Outcomes!$Q:$Q,CB$1)+COUNTIFS(Outcomes!$Y:$Y,'Quant analysis'!$BU27,Outcomes!$Q:$Q,CB$1)</f>
        <v>0</v>
      </c>
      <c r="CC27" s="105">
        <f>COUNTIFS(Outcomes!$U:$U,'Quant analysis'!$BU27,Outcomes!$Q:$Q,CC$1)+COUNTIFS(Outcomes!$V:$V,'Quant analysis'!$BU27,Outcomes!$Q:$Q,CC$1)+COUNTIFS(Outcomes!$W:$W,'Quant analysis'!$BU27,Outcomes!$Q:$Q,CC$1)+COUNTIFS(Outcomes!$X:$X,'Quant analysis'!$BU27,Outcomes!$Q:$Q,CC$1)+COUNTIFS(Outcomes!$Y:$Y,'Quant analysis'!$BU27,Outcomes!$Q:$Q,CC$1)</f>
        <v>0</v>
      </c>
      <c r="CD27" s="105">
        <f>COUNTIFS(Outcomes!$U:$U,'Quant analysis'!$BU27,Outcomes!$Q:$Q,CD$1)+COUNTIFS(Outcomes!$V:$V,'Quant analysis'!$BU27,Outcomes!$Q:$Q,CD$1)+COUNTIFS(Outcomes!$W:$W,'Quant analysis'!$BU27,Outcomes!$Q:$Q,CD$1)+COUNTIFS(Outcomes!$X:$X,'Quant analysis'!$BU27,Outcomes!$Q:$Q,CD$1)+COUNTIFS(Outcomes!$Y:$Y,'Quant analysis'!$BU27,Outcomes!$Q:$Q,CD$1)</f>
        <v>0</v>
      </c>
      <c r="CE27" s="105">
        <f>COUNTIFS(Outcomes!$U:$U,'Quant analysis'!$BU27,Outcomes!$Q:$Q,CE$1)+COUNTIFS(Outcomes!$V:$V,'Quant analysis'!$BU27,Outcomes!$Q:$Q,CE$1)+COUNTIFS(Outcomes!$W:$W,'Quant analysis'!$BU27,Outcomes!$Q:$Q,CE$1)+COUNTIFS(Outcomes!$X:$X,'Quant analysis'!$BU27,Outcomes!$Q:$Q,CE$1)+COUNTIFS(Outcomes!$Y:$Y,'Quant analysis'!$BU27,Outcomes!$Q:$Q,CE$1)</f>
        <v>0</v>
      </c>
      <c r="CF27" s="129">
        <f t="shared" si="4"/>
        <v>0</v>
      </c>
      <c r="CG27" s="130"/>
      <c r="CH27" s="130"/>
      <c r="CI27" s="130"/>
      <c r="CJ27" s="130"/>
      <c r="CK27" s="130"/>
      <c r="CL27" s="130"/>
      <c r="CM27" s="130"/>
      <c r="CN27" s="130"/>
      <c r="CO27" s="130"/>
      <c r="CP27" s="130"/>
      <c r="CQ27" s="130"/>
      <c r="CR27" s="130"/>
      <c r="CS27" s="130"/>
      <c r="CT27" s="130"/>
      <c r="CU27" s="130"/>
      <c r="CV27" s="131"/>
      <c r="CW27" s="16" t="s">
        <v>270</v>
      </c>
      <c r="CX27" s="130"/>
      <c r="CY27" s="130"/>
      <c r="CZ27" s="130"/>
      <c r="DA27" s="130"/>
      <c r="DB27" s="130"/>
      <c r="DC27" s="130"/>
      <c r="DD27" s="130"/>
      <c r="DE27" s="130"/>
      <c r="DF27" s="130"/>
      <c r="DG27" s="130"/>
      <c r="DH27" s="129" t="s">
        <v>242</v>
      </c>
      <c r="DI27" s="129" t="s">
        <v>96</v>
      </c>
      <c r="DJ27" s="68">
        <f t="shared" si="7"/>
        <v>0</v>
      </c>
      <c r="DK27" s="19">
        <f>COUNTIFS(Table1[Level of influence],"subnational",Table1[The Six Conditions of Systems Change (WORK IN PROGRESS)],"Policies",Table1[Output contribution 1],'Quant analysis'!DI27)+COUNTIFS(Table1[Level of influence],"subnational",Table1[The Six Conditions of Systems Change (WORK IN PROGRESS)],"Policies",Table1[Output contribution 2],'Quant analysis'!DI27)+COUNTIFS(Table1[Level of influence],"subnational",Table1[The Six Conditions of Systems Change (WORK IN PROGRESS)],"Policies",Table1[Output contribution 3],'Quant analysis'!DI27)+COUNTIFS(Table1[Level of influence],"subnational",Table1[The Six Conditions of Systems Change (WORK IN PROGRESS)],"Policies",Table1[Output contribution 4],'Quant analysis'!DI27)+COUNTIFS(Table1[Level of influence],"subnational",Table1[The Six Conditions of Systems Change (WORK IN PROGRESS)],"Policies",Table1[Output contribution 5],'Quant analysis'!DI27)+COUNTIFS(Table1[Level of influence],"national",Table1[The Six Conditions of Systems Change (WORK IN PROGRESS)],"Policies",Table1[Output contribution 1],'Quant analysis'!DI27)+COUNTIFS(Table1[Level of influence],"national",Table1[The Six Conditions of Systems Change (WORK IN PROGRESS)],"Policies",Table1[Output contribution 2],'Quant analysis'!DI27)+COUNTIFS(Table1[Level of influence],"national",Table1[The Six Conditions of Systems Change (WORK IN PROGRESS)],"Policies",Table1[Output contribution 3],'Quant analysis'!DI27)+COUNTIFS(Table1[Level of influence],"national",Table1[The Six Conditions of Systems Change (WORK IN PROGRESS)],"Policies",Table1[Output contribution 4],'Quant analysis'!DI27)+COUNTIFS(Table1[Level of influence],"national",Table1[The Six Conditions of Systems Change (WORK IN PROGRESS)],"Policies",Table1[Output contribution 5],'Quant analysis'!DI27)</f>
        <v>0</v>
      </c>
      <c r="DL27" s="19">
        <f>COUNTIFS(Table1[Level of influence],"subnational",Table1[The Six Conditions of Systems Change (WORK IN PROGRESS)],"Practices",Table1[Output contribution 1],'Quant analysis'!$DI27)+COUNTIFS(Table1[Level of influence],"subnational",Table1[The Six Conditions of Systems Change (WORK IN PROGRESS)],"Practices",Table1[Output contribution 2],'Quant analysis'!$DI27)+COUNTIFS(Table1[Level of influence],"subnational",Table1[The Six Conditions of Systems Change (WORK IN PROGRESS)],"Practices",Table1[Output contribution 3],'Quant analysis'!$DI27)+COUNTIFS(Table1[Level of influence],"subnational",Table1[The Six Conditions of Systems Change (WORK IN PROGRESS)],"Practices",Table1[Output contribution 4],'Quant analysis'!$DI27)+COUNTIFS(Table1[Level of influence],"subnational",Table1[The Six Conditions of Systems Change (WORK IN PROGRESS)],"Practices",Table1[Output contribution 5],'Quant analysis'!$DI27)+COUNTIFS(Table1[Level of influence],"national",Table1[The Six Conditions of Systems Change (WORK IN PROGRESS)],"Practices",Table1[Output contribution 1],'Quant analysis'!$DI27)+COUNTIFS(Table1[Level of influence],"national",Table1[The Six Conditions of Systems Change (WORK IN PROGRESS)],"Practices",Table1[Output contribution 2],'Quant analysis'!$DI27)+COUNTIFS(Table1[Level of influence],"national",Table1[The Six Conditions of Systems Change (WORK IN PROGRESS)],"Practices",Table1[Output contribution 3],'Quant analysis'!$DI27)+COUNTIFS(Table1[Level of influence],"national",Table1[The Six Conditions of Systems Change (WORK IN PROGRESS)],"Practices",Table1[Output contribution 4],'Quant analysis'!$DI27)+COUNTIFS(Table1[Level of influence],"national",Table1[The Six Conditions of Systems Change (WORK IN PROGRESS)],"Practices",Table1[Output contribution 5],'Quant analysis'!$DI27)</f>
        <v>0</v>
      </c>
      <c r="DM27" s="19">
        <f>COUNTIFS(Table1[Level of influence],"subnational",Table1[The Six Conditions of Systems Change (WORK IN PROGRESS)],DM$1,Table1[Output contribution 1],'Quant analysis'!$DI27)+COUNTIFS(Table1[Level of influence],"subnational",Table1[The Six Conditions of Systems Change (WORK IN PROGRESS)],DM$1,Table1[Output contribution 2],'Quant analysis'!$DI27)+COUNTIFS(Table1[Level of influence],"subnational",Table1[The Six Conditions of Systems Change (WORK IN PROGRESS)],DM$1,Table1[Output contribution 3],'Quant analysis'!$DI27)+COUNTIFS(Table1[Level of influence],"subnational",Table1[The Six Conditions of Systems Change (WORK IN PROGRESS)],DM$1,Table1[Output contribution 4],'Quant analysis'!$DI27)+COUNTIFS(Table1[Level of influence],"subnational",Table1[The Six Conditions of Systems Change (WORK IN PROGRESS)],DM$1,Table1[Output contribution 5],'Quant analysis'!$DI27)+COUNTIFS(Table1[Level of influence],"national",Table1[The Six Conditions of Systems Change (WORK IN PROGRESS)],DM$1,Table1[Output contribution 1],'Quant analysis'!$DI27)+COUNTIFS(Table1[Level of influence],"national",Table1[The Six Conditions of Systems Change (WORK IN PROGRESS)],DM$1,Table1[Output contribution 2],'Quant analysis'!$DI27)+COUNTIFS(Table1[Level of influence],"national",Table1[The Six Conditions of Systems Change (WORK IN PROGRESS)],DM$1,Table1[Output contribution 3],'Quant analysis'!$DI27)+COUNTIFS(Table1[Level of influence],"national",Table1[The Six Conditions of Systems Change (WORK IN PROGRESS)],DM$1,Table1[Output contribution 4],'Quant analysis'!$DI27)+COUNTIFS(Table1[Level of influence],"national",Table1[The Six Conditions of Systems Change (WORK IN PROGRESS)],DM$1,Table1[Output contribution 5],'Quant analysis'!$DI27)</f>
        <v>0</v>
      </c>
      <c r="DN27" s="19">
        <f>COUNTIFS(Table1[Level of influence],"subnational",Table1[The Six Conditions of Systems Change (WORK IN PROGRESS)],DN$1,Table1[Output contribution 1],'Quant analysis'!$DI27)+COUNTIFS(Table1[Level of influence],"subnational",Table1[The Six Conditions of Systems Change (WORK IN PROGRESS)],DN$1,Table1[Output contribution 2],'Quant analysis'!$DI27)+COUNTIFS(Table1[Level of influence],"subnational",Table1[The Six Conditions of Systems Change (WORK IN PROGRESS)],DN$1,Table1[Output contribution 3],'Quant analysis'!$DI27)+COUNTIFS(Table1[Level of influence],"subnational",Table1[The Six Conditions of Systems Change (WORK IN PROGRESS)],DN$1,Table1[Output contribution 4],'Quant analysis'!$DI27)+COUNTIFS(Table1[Level of influence],"subnational",Table1[The Six Conditions of Systems Change (WORK IN PROGRESS)],DN$1,Table1[Output contribution 5],'Quant analysis'!$DI27)+COUNTIFS(Table1[Level of influence],"national",Table1[The Six Conditions of Systems Change (WORK IN PROGRESS)],DN$1,Table1[Output contribution 1],'Quant analysis'!$DI27)+COUNTIFS(Table1[Level of influence],"national",Table1[The Six Conditions of Systems Change (WORK IN PROGRESS)],DN$1,Table1[Output contribution 2],'Quant analysis'!$DI27)+COUNTIFS(Table1[Level of influence],"national",Table1[The Six Conditions of Systems Change (WORK IN PROGRESS)],DN$1,Table1[Output contribution 3],'Quant analysis'!$DI27)+COUNTIFS(Table1[Level of influence],"national",Table1[The Six Conditions of Systems Change (WORK IN PROGRESS)],DN$1,Table1[Output contribution 4],'Quant analysis'!$DI27)+COUNTIFS(Table1[Level of influence],"national",Table1[The Six Conditions of Systems Change (WORK IN PROGRESS)],DN$1,Table1[Output contribution 5],'Quant analysis'!$DI27)</f>
        <v>0</v>
      </c>
      <c r="DO27" s="19">
        <f>COUNTIFS(Table1[Level of influence],"subnational",Table1[The Six Conditions of Systems Change (WORK IN PROGRESS)],DO$1,Table1[Output contribution 1],'Quant analysis'!$DI27)+COUNTIFS(Table1[Level of influence],"subnational",Table1[The Six Conditions of Systems Change (WORK IN PROGRESS)],DO$1,Table1[Output contribution 2],'Quant analysis'!$DI27)+COUNTIFS(Table1[Level of influence],"subnational",Table1[The Six Conditions of Systems Change (WORK IN PROGRESS)],DO$1,Table1[Output contribution 3],'Quant analysis'!$DI27)+COUNTIFS(Table1[Level of influence],"subnational",Table1[The Six Conditions of Systems Change (WORK IN PROGRESS)],DO$1,Table1[Output contribution 4],'Quant analysis'!$DI27)+COUNTIFS(Table1[Level of influence],"subnational",Table1[The Six Conditions of Systems Change (WORK IN PROGRESS)],DO$1,Table1[Output contribution 5],'Quant analysis'!$DI27)+COUNTIFS(Table1[Level of influence],"national",Table1[The Six Conditions of Systems Change (WORK IN PROGRESS)],DO$1,Table1[Output contribution 1],'Quant analysis'!$DI27)+COUNTIFS(Table1[Level of influence],"national",Table1[The Six Conditions of Systems Change (WORK IN PROGRESS)],DO$1,Table1[Output contribution 2],'Quant analysis'!$DI27)+COUNTIFS(Table1[Level of influence],"national",Table1[The Six Conditions of Systems Change (WORK IN PROGRESS)],DO$1,Table1[Output contribution 3],'Quant analysis'!$DI27)+COUNTIFS(Table1[Level of influence],"national",Table1[The Six Conditions of Systems Change (WORK IN PROGRESS)],DO$1,Table1[Output contribution 4],'Quant analysis'!$DI27)+COUNTIFS(Table1[Level of influence],"national",Table1[The Six Conditions of Systems Change (WORK IN PROGRESS)],DO$1,Table1[Output contribution 5],'Quant analysis'!$DI27)</f>
        <v>0</v>
      </c>
      <c r="DP27" s="19">
        <f>COUNTIFS(Table1[Level of influence],"subnational",Table1[The Six Conditions of Systems Change (WORK IN PROGRESS)],DP$1,Table1[Output contribution 1],'Quant analysis'!$DI27)+COUNTIFS(Table1[Level of influence],"subnational",Table1[The Six Conditions of Systems Change (WORK IN PROGRESS)],DP$1,Table1[Output contribution 2],'Quant analysis'!$DI27)+COUNTIFS(Table1[Level of influence],"subnational",Table1[The Six Conditions of Systems Change (WORK IN PROGRESS)],DP$1,Table1[Output contribution 3],'Quant analysis'!$DI27)+COUNTIFS(Table1[Level of influence],"subnational",Table1[The Six Conditions of Systems Change (WORK IN PROGRESS)],DP$1,Table1[Output contribution 4],'Quant analysis'!$DI27)+COUNTIFS(Table1[Level of influence],"subnational",Table1[The Six Conditions of Systems Change (WORK IN PROGRESS)],DP$1,Table1[Output contribution 5],'Quant analysis'!$DI27)+COUNTIFS(Table1[Level of influence],"national",Table1[The Six Conditions of Systems Change (WORK IN PROGRESS)],DP$1,Table1[Output contribution 1],'Quant analysis'!$DI27)+COUNTIFS(Table1[Level of influence],"national",Table1[The Six Conditions of Systems Change (WORK IN PROGRESS)],DP$1,Table1[Output contribution 2],'Quant analysis'!$DI27)+COUNTIFS(Table1[Level of influence],"national",Table1[The Six Conditions of Systems Change (WORK IN PROGRESS)],DP$1,Table1[Output contribution 3],'Quant analysis'!$DI27)+COUNTIFS(Table1[Level of influence],"national",Table1[The Six Conditions of Systems Change (WORK IN PROGRESS)],DP$1,Table1[Output contribution 4],'Quant analysis'!$DI27)+COUNTIFS(Table1[Level of influence],"national",Table1[The Six Conditions of Systems Change (WORK IN PROGRESS)],DP$1,Table1[Output contribution 5],'Quant analysis'!$DI27)</f>
        <v>0</v>
      </c>
      <c r="DQ27" s="130"/>
      <c r="DR27" s="130"/>
      <c r="DS27" s="157" t="s">
        <v>282</v>
      </c>
      <c r="DT27" s="129">
        <f>COUNTIFS(Table1[The Six Conditions of Systems Change (WORK IN PROGRESS)],'Quant analysis'!DT$1,Table1[Level of influence],"subnational",Table1['# of quarters between first contribution statement ],'Quant analysis'!$DS27)+COUNTIFS(Table1[The Six Conditions of Systems Change (WORK IN PROGRESS)],'Quant analysis'!DT$1,Table1[Level of influence],"national",Table1['# of quarters between first contribution statement ],'Quant analysis'!$DS27)</f>
        <v>0</v>
      </c>
      <c r="DU27" s="129">
        <f>COUNTIFS(Table1[The Six Conditions of Systems Change (WORK IN PROGRESS)],'Quant analysis'!DU$1,Table1[Level of influence],"subnational",Table1['# of quarters between first contribution statement ],'Quant analysis'!$DS27)+COUNTIFS(Table1[The Six Conditions of Systems Change (WORK IN PROGRESS)],'Quant analysis'!DU$1,Table1[Level of influence],"national",Table1['# of quarters between first contribution statement ],'Quant analysis'!$DS27)</f>
        <v>0</v>
      </c>
      <c r="DV27" s="129">
        <f>COUNTIFS(Table1[The Six Conditions of Systems Change (WORK IN PROGRESS)],'Quant analysis'!DV$1,Table1[Level of influence],"subnational",Table1['# of quarters between first contribution statement ],'Quant analysis'!$DS27)+COUNTIFS(Table1[The Six Conditions of Systems Change (WORK IN PROGRESS)],'Quant analysis'!DV$1,Table1[Level of influence],"national",Table1['# of quarters between first contribution statement ],'Quant analysis'!$DS27)</f>
        <v>0</v>
      </c>
      <c r="DW27" s="129">
        <f>COUNTIFS(Table1[The Six Conditions of Systems Change (WORK IN PROGRESS)],'Quant analysis'!DW$1,Table1[Level of influence],"subnational",Table1['# of quarters between first contribution statement ],'Quant analysis'!$DS27)+COUNTIFS(Table1[The Six Conditions of Systems Change (WORK IN PROGRESS)],'Quant analysis'!DW$1,Table1[Level of influence],"national",Table1['# of quarters between first contribution statement ],'Quant analysis'!$DS27)</f>
        <v>0</v>
      </c>
      <c r="DX27" s="129">
        <f>COUNTIFS(Table1[The Six Conditions of Systems Change (WORK IN PROGRESS)],'Quant analysis'!DX$1,Table1[Level of influence],"subnational",Table1['# of quarters between first contribution statement ],'Quant analysis'!$DS27)+COUNTIFS(Table1[The Six Conditions of Systems Change (WORK IN PROGRESS)],'Quant analysis'!DX$1,Table1[Level of influence],"national",Table1['# of quarters between first contribution statement ],'Quant analysis'!$DS27)</f>
        <v>0</v>
      </c>
      <c r="DY27" s="129">
        <f>COUNTIFS(Table1[The Six Conditions of Systems Change (WORK IN PROGRESS)],'Quant analysis'!DY$1,Table1[Level of influence],"subnational",Table1['# of quarters between first contribution statement ],'Quant analysis'!$DS27)+COUNTIFS(Table1[The Six Conditions of Systems Change (WORK IN PROGRESS)],'Quant analysis'!DY$1,Table1[Level of influence],"national",Table1['# of quarters between first contribution statement ],'Quant analysis'!$DS27)</f>
        <v>0</v>
      </c>
      <c r="DZ27" s="129"/>
      <c r="EA27" s="130"/>
      <c r="EB27" s="68" t="s">
        <v>283</v>
      </c>
      <c r="EC27" s="129"/>
      <c r="ED27" s="129"/>
      <c r="EE27" s="130"/>
      <c r="EF27" s="130"/>
      <c r="EG27" s="130"/>
      <c r="EH27" s="130"/>
      <c r="EI27" s="130"/>
      <c r="EJ27" s="130"/>
      <c r="EK27" s="130"/>
      <c r="EL27" s="130"/>
      <c r="EM27" s="68" t="s">
        <v>283</v>
      </c>
      <c r="EN27" s="129"/>
      <c r="EO27" s="129"/>
      <c r="EP27" s="130"/>
      <c r="EQ27" s="130"/>
      <c r="ER27" s="130"/>
      <c r="ES27" s="130"/>
      <c r="ET27" s="130"/>
      <c r="EU27" s="130"/>
      <c r="EV27" s="130"/>
      <c r="EW27" s="68" t="s">
        <v>283</v>
      </c>
      <c r="EX27" s="129"/>
      <c r="EY27" s="129"/>
      <c r="EZ27" s="130"/>
      <c r="FA27" s="130"/>
      <c r="FB27" s="130"/>
      <c r="FC27" s="130"/>
      <c r="FD27" s="130"/>
      <c r="FE27" s="130"/>
    </row>
    <row r="28" spans="1:161" x14ac:dyDescent="0.2">
      <c r="A28" s="130"/>
      <c r="B28" s="130"/>
      <c r="C28" s="130"/>
      <c r="D28" s="130"/>
      <c r="E28" s="130"/>
      <c r="F28" s="130"/>
      <c r="G28" s="130"/>
      <c r="H28" s="130"/>
      <c r="I28" s="130"/>
      <c r="J28" s="130"/>
      <c r="K28" s="130"/>
      <c r="L28" s="130"/>
      <c r="M28" s="130"/>
      <c r="N28" s="130"/>
      <c r="O28" s="130"/>
      <c r="P28" s="130"/>
      <c r="Q28" s="130"/>
      <c r="R28" s="130"/>
      <c r="S28" s="130" t="s">
        <v>241</v>
      </c>
      <c r="T28" s="129" t="s">
        <v>284</v>
      </c>
      <c r="U28" s="129">
        <f>COUNTIF(Outcomes!$L:$L,'Quant analysis'!$T28)</f>
        <v>0</v>
      </c>
      <c r="V28" s="19">
        <f>COUNTIFS(Outcomes!$L:$L,'Quant analysis'!$T28,Outcomes!$Q:$Q,V$1)</f>
        <v>0</v>
      </c>
      <c r="W28" s="19">
        <f>COUNTIFS(Outcomes!$L:$L,'Quant analysis'!$T28,Outcomes!$Q:$Q,W$1)</f>
        <v>0</v>
      </c>
      <c r="X28" s="19">
        <f>COUNTIFS(Outcomes!$L:$L,'Quant analysis'!$T28,Outcomes!$Q:$Q,X$1)</f>
        <v>0</v>
      </c>
      <c r="Y28" s="19">
        <f>COUNTIFS(Outcomes!$L:$L,'Quant analysis'!$T28,Outcomes!$Q:$Q,Y$1)</f>
        <v>0</v>
      </c>
      <c r="Z28" s="19">
        <f>COUNTIFS(Outcomes!$L:$L,'Quant analysis'!$T28,Outcomes!$Q:$Q,Z$1)</f>
        <v>0</v>
      </c>
      <c r="AA28" s="105">
        <f>COUNTIFS(Outcomes!$L:$L,'Quant analysis'!$T28,Outcomes!$Q:$Q,AA$1)</f>
        <v>0</v>
      </c>
      <c r="AB28" s="105">
        <f>COUNTIFS(Outcomes!$L:$L,'Quant analysis'!$T28,Outcomes!$Q:$Q,AB$1)</f>
        <v>0</v>
      </c>
      <c r="AC28" s="105">
        <f>COUNTIFS(Outcomes!$L:$L,'Quant analysis'!$T28,Outcomes!$Q:$Q,AC$1)</f>
        <v>0</v>
      </c>
      <c r="AD28" s="105">
        <f>COUNTIFS(Outcomes!$L:$L,'Quant analysis'!$T28,Outcomes!$Q:$Q,AD$1)</f>
        <v>0</v>
      </c>
      <c r="AE28" s="130">
        <f t="shared" si="0"/>
        <v>0</v>
      </c>
      <c r="AF28" s="130"/>
      <c r="AG28" s="130" t="s">
        <v>106</v>
      </c>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29"/>
      <c r="BU28" s="129" t="s">
        <v>180</v>
      </c>
      <c r="BV28" s="68">
        <f>COUNTIF(Outcomes!U:Y,'Quant analysis'!BU28)</f>
        <v>0</v>
      </c>
      <c r="BW28" s="19">
        <f>COUNTIFS(Outcomes!$U:$U,'Quant analysis'!$BU28,Outcomes!$Q:$Q,BW$1)+COUNTIFS(Outcomes!$V:$V,'Quant analysis'!$BU28,Outcomes!$Q:$Q,BW$1)+COUNTIFS(Outcomes!$W:$W,'Quant analysis'!$BU28,Outcomes!$Q:$Q,BW$1)+COUNTIFS(Outcomes!$X:$X,'Quant analysis'!$BU28,Outcomes!$Q:$Q,BW$1)+COUNTIFS(Outcomes!$Y:$Y,'Quant analysis'!$BU28,Outcomes!$Q:$Q,BW$1)</f>
        <v>0</v>
      </c>
      <c r="BX28" s="19">
        <f>COUNTIFS(Outcomes!$U:$U,'Quant analysis'!$BU28,Outcomes!$Q:$Q,BX$1)+COUNTIFS(Outcomes!$V:$V,'Quant analysis'!$BU28,Outcomes!$Q:$Q,BX$1)+COUNTIFS(Outcomes!$W:$W,'Quant analysis'!$BU28,Outcomes!$Q:$Q,BX$1)+COUNTIFS(Outcomes!$X:$X,'Quant analysis'!$BU28,Outcomes!$Q:$Q,BX$1)+COUNTIFS(Outcomes!$Y:$Y,'Quant analysis'!$BU28,Outcomes!$Q:$Q,BX$1)</f>
        <v>0</v>
      </c>
      <c r="BY28" s="19">
        <f>COUNTIFS(Outcomes!$U:$U,'Quant analysis'!$BU28,Outcomes!$Q:$Q,BY$1)+COUNTIFS(Outcomes!$V:$V,'Quant analysis'!$BU28,Outcomes!$Q:$Q,BY$1)+COUNTIFS(Outcomes!$W:$W,'Quant analysis'!$BU28,Outcomes!$Q:$Q,BY$1)+COUNTIFS(Outcomes!$X:$X,'Quant analysis'!$BU28,Outcomes!$Q:$Q,BY$1)+COUNTIFS(Outcomes!$Y:$Y,'Quant analysis'!$BU28,Outcomes!$Q:$Q,BY$1)</f>
        <v>0</v>
      </c>
      <c r="BZ28" s="19">
        <f>COUNTIFS(Outcomes!$U:$U,'Quant analysis'!$BU28,Outcomes!$Q:$Q,BZ$1)+COUNTIFS(Outcomes!$V:$V,'Quant analysis'!$BU28,Outcomes!$Q:$Q,BZ$1)+COUNTIFS(Outcomes!$W:$W,'Quant analysis'!$BU28,Outcomes!$Q:$Q,BZ$1)+COUNTIFS(Outcomes!$X:$X,'Quant analysis'!$BU28,Outcomes!$Q:$Q,BZ$1)+COUNTIFS(Outcomes!$Y:$Y,'Quant analysis'!$BU28,Outcomes!$Q:$Q,BZ$1)</f>
        <v>0</v>
      </c>
      <c r="CA28" s="19">
        <f>COUNTIFS(Outcomes!$U:$U,'Quant analysis'!$BU28,Outcomes!$Q:$Q,CA$1)+COUNTIFS(Outcomes!$V:$V,'Quant analysis'!$BU28,Outcomes!$Q:$Q,CA$1)+COUNTIFS(Outcomes!$W:$W,'Quant analysis'!$BU28,Outcomes!$Q:$Q,CA$1)+COUNTIFS(Outcomes!$X:$X,'Quant analysis'!$BU28,Outcomes!$Q:$Q,CA$1)+COUNTIFS(Outcomes!$Y:$Y,'Quant analysis'!$BU28,Outcomes!$Q:$Q,CA$1)</f>
        <v>0</v>
      </c>
      <c r="CB28" s="105">
        <f>COUNTIFS(Outcomes!$U:$U,'Quant analysis'!$BU28,Outcomes!$Q:$Q,CB$1)+COUNTIFS(Outcomes!$V:$V,'Quant analysis'!$BU28,Outcomes!$Q:$Q,CB$1)+COUNTIFS(Outcomes!$W:$W,'Quant analysis'!$BU28,Outcomes!$Q:$Q,CB$1)+COUNTIFS(Outcomes!$X:$X,'Quant analysis'!$BU28,Outcomes!$Q:$Q,CB$1)+COUNTIFS(Outcomes!$Y:$Y,'Quant analysis'!$BU28,Outcomes!$Q:$Q,CB$1)</f>
        <v>0</v>
      </c>
      <c r="CC28" s="105">
        <f>COUNTIFS(Outcomes!$U:$U,'Quant analysis'!$BU28,Outcomes!$Q:$Q,CC$1)+COUNTIFS(Outcomes!$V:$V,'Quant analysis'!$BU28,Outcomes!$Q:$Q,CC$1)+COUNTIFS(Outcomes!$W:$W,'Quant analysis'!$BU28,Outcomes!$Q:$Q,CC$1)+COUNTIFS(Outcomes!$X:$X,'Quant analysis'!$BU28,Outcomes!$Q:$Q,CC$1)+COUNTIFS(Outcomes!$Y:$Y,'Quant analysis'!$BU28,Outcomes!$Q:$Q,CC$1)</f>
        <v>0</v>
      </c>
      <c r="CD28" s="105">
        <f>COUNTIFS(Outcomes!$U:$U,'Quant analysis'!$BU28,Outcomes!$Q:$Q,CD$1)+COUNTIFS(Outcomes!$V:$V,'Quant analysis'!$BU28,Outcomes!$Q:$Q,CD$1)+COUNTIFS(Outcomes!$W:$W,'Quant analysis'!$BU28,Outcomes!$Q:$Q,CD$1)+COUNTIFS(Outcomes!$X:$X,'Quant analysis'!$BU28,Outcomes!$Q:$Q,CD$1)+COUNTIFS(Outcomes!$Y:$Y,'Quant analysis'!$BU28,Outcomes!$Q:$Q,CD$1)</f>
        <v>0</v>
      </c>
      <c r="CE28" s="105">
        <f>COUNTIFS(Outcomes!$U:$U,'Quant analysis'!$BU28,Outcomes!$Q:$Q,CE$1)+COUNTIFS(Outcomes!$V:$V,'Quant analysis'!$BU28,Outcomes!$Q:$Q,CE$1)+COUNTIFS(Outcomes!$W:$W,'Quant analysis'!$BU28,Outcomes!$Q:$Q,CE$1)+COUNTIFS(Outcomes!$X:$X,'Quant analysis'!$BU28,Outcomes!$Q:$Q,CE$1)+COUNTIFS(Outcomes!$Y:$Y,'Quant analysis'!$BU28,Outcomes!$Q:$Q,CE$1)</f>
        <v>0</v>
      </c>
      <c r="CF28" s="129">
        <f t="shared" si="4"/>
        <v>0</v>
      </c>
      <c r="CG28" s="130"/>
      <c r="CH28" s="130"/>
      <c r="CI28" s="130"/>
      <c r="CJ28" s="130"/>
      <c r="CK28" s="130"/>
      <c r="CL28" s="130"/>
      <c r="CM28" s="130"/>
      <c r="CN28" s="130"/>
      <c r="CO28" s="130"/>
      <c r="CP28" s="130"/>
      <c r="CQ28" s="130"/>
      <c r="CR28" s="130"/>
      <c r="CS28" s="130"/>
      <c r="CT28" s="130"/>
      <c r="CU28" s="130"/>
      <c r="CV28" s="131"/>
      <c r="CW28" s="57" t="s">
        <v>231</v>
      </c>
      <c r="CX28" s="68" t="s">
        <v>2</v>
      </c>
      <c r="CY28" s="68" t="s">
        <v>3</v>
      </c>
      <c r="CZ28" s="68" t="s">
        <v>4</v>
      </c>
      <c r="DA28" s="68" t="s">
        <v>5</v>
      </c>
      <c r="DB28" s="68" t="s">
        <v>6</v>
      </c>
      <c r="DC28" s="68" t="s">
        <v>7</v>
      </c>
      <c r="DD28" s="68" t="s">
        <v>271</v>
      </c>
      <c r="DE28" s="68" t="s">
        <v>233</v>
      </c>
      <c r="DF28" s="130"/>
      <c r="DG28" s="130"/>
      <c r="DH28" s="129"/>
      <c r="DI28" s="129" t="s">
        <v>180</v>
      </c>
      <c r="DJ28" s="68">
        <f t="shared" si="7"/>
        <v>0</v>
      </c>
      <c r="DK28" s="19">
        <f>COUNTIFS(Table1[Level of influence],"subnational",Table1[The Six Conditions of Systems Change (WORK IN PROGRESS)],"Policies",Table1[Output contribution 1],'Quant analysis'!DI28)+COUNTIFS(Table1[Level of influence],"subnational",Table1[The Six Conditions of Systems Change (WORK IN PROGRESS)],"Policies",Table1[Output contribution 2],'Quant analysis'!DI28)+COUNTIFS(Table1[Level of influence],"subnational",Table1[The Six Conditions of Systems Change (WORK IN PROGRESS)],"Policies",Table1[Output contribution 3],'Quant analysis'!DI28)+COUNTIFS(Table1[Level of influence],"subnational",Table1[The Six Conditions of Systems Change (WORK IN PROGRESS)],"Policies",Table1[Output contribution 4],'Quant analysis'!DI28)+COUNTIFS(Table1[Level of influence],"subnational",Table1[The Six Conditions of Systems Change (WORK IN PROGRESS)],"Policies",Table1[Output contribution 5],'Quant analysis'!DI28)+COUNTIFS(Table1[Level of influence],"national",Table1[The Six Conditions of Systems Change (WORK IN PROGRESS)],"Policies",Table1[Output contribution 1],'Quant analysis'!DI28)+COUNTIFS(Table1[Level of influence],"national",Table1[The Six Conditions of Systems Change (WORK IN PROGRESS)],"Policies",Table1[Output contribution 2],'Quant analysis'!DI28)+COUNTIFS(Table1[Level of influence],"national",Table1[The Six Conditions of Systems Change (WORK IN PROGRESS)],"Policies",Table1[Output contribution 3],'Quant analysis'!DI28)+COUNTIFS(Table1[Level of influence],"national",Table1[The Six Conditions of Systems Change (WORK IN PROGRESS)],"Policies",Table1[Output contribution 4],'Quant analysis'!DI28)+COUNTIFS(Table1[Level of influence],"national",Table1[The Six Conditions of Systems Change (WORK IN PROGRESS)],"Policies",Table1[Output contribution 5],'Quant analysis'!DI28)</f>
        <v>0</v>
      </c>
      <c r="DL28" s="19">
        <f>COUNTIFS(Table1[Level of influence],"subnational",Table1[The Six Conditions of Systems Change (WORK IN PROGRESS)],"Practices",Table1[Output contribution 1],'Quant analysis'!$DI28)+COUNTIFS(Table1[Level of influence],"subnational",Table1[The Six Conditions of Systems Change (WORK IN PROGRESS)],"Practices",Table1[Output contribution 2],'Quant analysis'!$DI28)+COUNTIFS(Table1[Level of influence],"subnational",Table1[The Six Conditions of Systems Change (WORK IN PROGRESS)],"Practices",Table1[Output contribution 3],'Quant analysis'!$DI28)+COUNTIFS(Table1[Level of influence],"subnational",Table1[The Six Conditions of Systems Change (WORK IN PROGRESS)],"Practices",Table1[Output contribution 4],'Quant analysis'!$DI28)+COUNTIFS(Table1[Level of influence],"subnational",Table1[The Six Conditions of Systems Change (WORK IN PROGRESS)],"Practices",Table1[Output contribution 5],'Quant analysis'!$DI28)+COUNTIFS(Table1[Level of influence],"national",Table1[The Six Conditions of Systems Change (WORK IN PROGRESS)],"Practices",Table1[Output contribution 1],'Quant analysis'!$DI28)+COUNTIFS(Table1[Level of influence],"national",Table1[The Six Conditions of Systems Change (WORK IN PROGRESS)],"Practices",Table1[Output contribution 2],'Quant analysis'!$DI28)+COUNTIFS(Table1[Level of influence],"national",Table1[The Six Conditions of Systems Change (WORK IN PROGRESS)],"Practices",Table1[Output contribution 3],'Quant analysis'!$DI28)+COUNTIFS(Table1[Level of influence],"national",Table1[The Six Conditions of Systems Change (WORK IN PROGRESS)],"Practices",Table1[Output contribution 4],'Quant analysis'!$DI28)+COUNTIFS(Table1[Level of influence],"national",Table1[The Six Conditions of Systems Change (WORK IN PROGRESS)],"Practices",Table1[Output contribution 5],'Quant analysis'!$DI28)</f>
        <v>0</v>
      </c>
      <c r="DM28" s="19">
        <f>COUNTIFS(Table1[Level of influence],"subnational",Table1[The Six Conditions of Systems Change (WORK IN PROGRESS)],DM$1,Table1[Output contribution 1],'Quant analysis'!$DI28)+COUNTIFS(Table1[Level of influence],"subnational",Table1[The Six Conditions of Systems Change (WORK IN PROGRESS)],DM$1,Table1[Output contribution 2],'Quant analysis'!$DI28)+COUNTIFS(Table1[Level of influence],"subnational",Table1[The Six Conditions of Systems Change (WORK IN PROGRESS)],DM$1,Table1[Output contribution 3],'Quant analysis'!$DI28)+COUNTIFS(Table1[Level of influence],"subnational",Table1[The Six Conditions of Systems Change (WORK IN PROGRESS)],DM$1,Table1[Output contribution 4],'Quant analysis'!$DI28)+COUNTIFS(Table1[Level of influence],"subnational",Table1[The Six Conditions of Systems Change (WORK IN PROGRESS)],DM$1,Table1[Output contribution 5],'Quant analysis'!$DI28)+COUNTIFS(Table1[Level of influence],"national",Table1[The Six Conditions of Systems Change (WORK IN PROGRESS)],DM$1,Table1[Output contribution 1],'Quant analysis'!$DI28)+COUNTIFS(Table1[Level of influence],"national",Table1[The Six Conditions of Systems Change (WORK IN PROGRESS)],DM$1,Table1[Output contribution 2],'Quant analysis'!$DI28)+COUNTIFS(Table1[Level of influence],"national",Table1[The Six Conditions of Systems Change (WORK IN PROGRESS)],DM$1,Table1[Output contribution 3],'Quant analysis'!$DI28)+COUNTIFS(Table1[Level of influence],"national",Table1[The Six Conditions of Systems Change (WORK IN PROGRESS)],DM$1,Table1[Output contribution 4],'Quant analysis'!$DI28)+COUNTIFS(Table1[Level of influence],"national",Table1[The Six Conditions of Systems Change (WORK IN PROGRESS)],DM$1,Table1[Output contribution 5],'Quant analysis'!$DI28)</f>
        <v>0</v>
      </c>
      <c r="DN28" s="19">
        <f>COUNTIFS(Table1[Level of influence],"subnational",Table1[The Six Conditions of Systems Change (WORK IN PROGRESS)],DN$1,Table1[Output contribution 1],'Quant analysis'!$DI28)+COUNTIFS(Table1[Level of influence],"subnational",Table1[The Six Conditions of Systems Change (WORK IN PROGRESS)],DN$1,Table1[Output contribution 2],'Quant analysis'!$DI28)+COUNTIFS(Table1[Level of influence],"subnational",Table1[The Six Conditions of Systems Change (WORK IN PROGRESS)],DN$1,Table1[Output contribution 3],'Quant analysis'!$DI28)+COUNTIFS(Table1[Level of influence],"subnational",Table1[The Six Conditions of Systems Change (WORK IN PROGRESS)],DN$1,Table1[Output contribution 4],'Quant analysis'!$DI28)+COUNTIFS(Table1[Level of influence],"subnational",Table1[The Six Conditions of Systems Change (WORK IN PROGRESS)],DN$1,Table1[Output contribution 5],'Quant analysis'!$DI28)+COUNTIFS(Table1[Level of influence],"national",Table1[The Six Conditions of Systems Change (WORK IN PROGRESS)],DN$1,Table1[Output contribution 1],'Quant analysis'!$DI28)+COUNTIFS(Table1[Level of influence],"national",Table1[The Six Conditions of Systems Change (WORK IN PROGRESS)],DN$1,Table1[Output contribution 2],'Quant analysis'!$DI28)+COUNTIFS(Table1[Level of influence],"national",Table1[The Six Conditions of Systems Change (WORK IN PROGRESS)],DN$1,Table1[Output contribution 3],'Quant analysis'!$DI28)+COUNTIFS(Table1[Level of influence],"national",Table1[The Six Conditions of Systems Change (WORK IN PROGRESS)],DN$1,Table1[Output contribution 4],'Quant analysis'!$DI28)+COUNTIFS(Table1[Level of influence],"national",Table1[The Six Conditions of Systems Change (WORK IN PROGRESS)],DN$1,Table1[Output contribution 5],'Quant analysis'!$DI28)</f>
        <v>0</v>
      </c>
      <c r="DO28" s="19">
        <f>COUNTIFS(Table1[Level of influence],"subnational",Table1[The Six Conditions of Systems Change (WORK IN PROGRESS)],DO$1,Table1[Output contribution 1],'Quant analysis'!$DI28)+COUNTIFS(Table1[Level of influence],"subnational",Table1[The Six Conditions of Systems Change (WORK IN PROGRESS)],DO$1,Table1[Output contribution 2],'Quant analysis'!$DI28)+COUNTIFS(Table1[Level of influence],"subnational",Table1[The Six Conditions of Systems Change (WORK IN PROGRESS)],DO$1,Table1[Output contribution 3],'Quant analysis'!$DI28)+COUNTIFS(Table1[Level of influence],"subnational",Table1[The Six Conditions of Systems Change (WORK IN PROGRESS)],DO$1,Table1[Output contribution 4],'Quant analysis'!$DI28)+COUNTIFS(Table1[Level of influence],"subnational",Table1[The Six Conditions of Systems Change (WORK IN PROGRESS)],DO$1,Table1[Output contribution 5],'Quant analysis'!$DI28)+COUNTIFS(Table1[Level of influence],"national",Table1[The Six Conditions of Systems Change (WORK IN PROGRESS)],DO$1,Table1[Output contribution 1],'Quant analysis'!$DI28)+COUNTIFS(Table1[Level of influence],"national",Table1[The Six Conditions of Systems Change (WORK IN PROGRESS)],DO$1,Table1[Output contribution 2],'Quant analysis'!$DI28)+COUNTIFS(Table1[Level of influence],"national",Table1[The Six Conditions of Systems Change (WORK IN PROGRESS)],DO$1,Table1[Output contribution 3],'Quant analysis'!$DI28)+COUNTIFS(Table1[Level of influence],"national",Table1[The Six Conditions of Systems Change (WORK IN PROGRESS)],DO$1,Table1[Output contribution 4],'Quant analysis'!$DI28)+COUNTIFS(Table1[Level of influence],"national",Table1[The Six Conditions of Systems Change (WORK IN PROGRESS)],DO$1,Table1[Output contribution 5],'Quant analysis'!$DI28)</f>
        <v>0</v>
      </c>
      <c r="DP28" s="19">
        <f>COUNTIFS(Table1[Level of influence],"subnational",Table1[The Six Conditions of Systems Change (WORK IN PROGRESS)],DP$1,Table1[Output contribution 1],'Quant analysis'!$DI28)+COUNTIFS(Table1[Level of influence],"subnational",Table1[The Six Conditions of Systems Change (WORK IN PROGRESS)],DP$1,Table1[Output contribution 2],'Quant analysis'!$DI28)+COUNTIFS(Table1[Level of influence],"subnational",Table1[The Six Conditions of Systems Change (WORK IN PROGRESS)],DP$1,Table1[Output contribution 3],'Quant analysis'!$DI28)+COUNTIFS(Table1[Level of influence],"subnational",Table1[The Six Conditions of Systems Change (WORK IN PROGRESS)],DP$1,Table1[Output contribution 4],'Quant analysis'!$DI28)+COUNTIFS(Table1[Level of influence],"subnational",Table1[The Six Conditions of Systems Change (WORK IN PROGRESS)],DP$1,Table1[Output contribution 5],'Quant analysis'!$DI28)+COUNTIFS(Table1[Level of influence],"national",Table1[The Six Conditions of Systems Change (WORK IN PROGRESS)],DP$1,Table1[Output contribution 1],'Quant analysis'!$DI28)+COUNTIFS(Table1[Level of influence],"national",Table1[The Six Conditions of Systems Change (WORK IN PROGRESS)],DP$1,Table1[Output contribution 2],'Quant analysis'!$DI28)+COUNTIFS(Table1[Level of influence],"national",Table1[The Six Conditions of Systems Change (WORK IN PROGRESS)],DP$1,Table1[Output contribution 3],'Quant analysis'!$DI28)+COUNTIFS(Table1[Level of influence],"national",Table1[The Six Conditions of Systems Change (WORK IN PROGRESS)],DP$1,Table1[Output contribution 4],'Quant analysis'!$DI28)+COUNTIFS(Table1[Level of influence],"national",Table1[The Six Conditions of Systems Change (WORK IN PROGRESS)],DP$1,Table1[Output contribution 5],'Quant analysis'!$DI28)</f>
        <v>0</v>
      </c>
      <c r="DQ28" s="130"/>
      <c r="DR28" s="130"/>
      <c r="DS28" s="157" t="s">
        <v>285</v>
      </c>
      <c r="DT28" s="129">
        <f>COUNTIFS(Table1[The Six Conditions of Systems Change (WORK IN PROGRESS)],'Quant analysis'!DT$1,Table1[Level of influence],"subnational",Table1['# of quarters between first contribution statement ],'Quant analysis'!$DS28)+COUNTIFS(Table1[The Six Conditions of Systems Change (WORK IN PROGRESS)],'Quant analysis'!DT$1,Table1[Level of influence],"national",Table1['# of quarters between first contribution statement ],'Quant analysis'!$DS28)</f>
        <v>0</v>
      </c>
      <c r="DU28" s="129">
        <f>COUNTIFS(Table1[The Six Conditions of Systems Change (WORK IN PROGRESS)],'Quant analysis'!DU$1,Table1[Level of influence],"subnational",Table1['# of quarters between first contribution statement ],'Quant analysis'!$DS28)+COUNTIFS(Table1[The Six Conditions of Systems Change (WORK IN PROGRESS)],'Quant analysis'!DU$1,Table1[Level of influence],"national",Table1['# of quarters between first contribution statement ],'Quant analysis'!$DS28)</f>
        <v>0</v>
      </c>
      <c r="DV28" s="129">
        <f>COUNTIFS(Table1[The Six Conditions of Systems Change (WORK IN PROGRESS)],'Quant analysis'!DV$1,Table1[Level of influence],"subnational",Table1['# of quarters between first contribution statement ],'Quant analysis'!$DS28)+COUNTIFS(Table1[The Six Conditions of Systems Change (WORK IN PROGRESS)],'Quant analysis'!DV$1,Table1[Level of influence],"national",Table1['# of quarters between first contribution statement ],'Quant analysis'!$DS28)</f>
        <v>0</v>
      </c>
      <c r="DW28" s="129">
        <f>COUNTIFS(Table1[The Six Conditions of Systems Change (WORK IN PROGRESS)],'Quant analysis'!DW$1,Table1[Level of influence],"subnational",Table1['# of quarters between first contribution statement ],'Quant analysis'!$DS28)+COUNTIFS(Table1[The Six Conditions of Systems Change (WORK IN PROGRESS)],'Quant analysis'!DW$1,Table1[Level of influence],"national",Table1['# of quarters between first contribution statement ],'Quant analysis'!$DS28)</f>
        <v>0</v>
      </c>
      <c r="DX28" s="129">
        <f>COUNTIFS(Table1[The Six Conditions of Systems Change (WORK IN PROGRESS)],'Quant analysis'!DX$1,Table1[Level of influence],"subnational",Table1['# of quarters between first contribution statement ],'Quant analysis'!$DS28)+COUNTIFS(Table1[The Six Conditions of Systems Change (WORK IN PROGRESS)],'Quant analysis'!DX$1,Table1[Level of influence],"national",Table1['# of quarters between first contribution statement ],'Quant analysis'!$DS28)</f>
        <v>0</v>
      </c>
      <c r="DY28" s="129">
        <f>COUNTIFS(Table1[The Six Conditions of Systems Change (WORK IN PROGRESS)],'Quant analysis'!DY$1,Table1[Level of influence],"subnational",Table1['# of quarters between first contribution statement ],'Quant analysis'!$DS28)+COUNTIFS(Table1[The Six Conditions of Systems Change (WORK IN PROGRESS)],'Quant analysis'!DY$1,Table1[Level of influence],"national",Table1['# of quarters between first contribution statement ],'Quant analysis'!$DS28)</f>
        <v>0</v>
      </c>
      <c r="DZ28" s="129"/>
      <c r="EA28" s="130"/>
      <c r="EB28" s="68" t="s">
        <v>259</v>
      </c>
      <c r="EC28" s="68" t="s">
        <v>2</v>
      </c>
      <c r="ED28" s="129">
        <f>SUM(EC20:EC22)</f>
        <v>0</v>
      </c>
      <c r="EE28" s="130"/>
      <c r="EF28" s="130"/>
      <c r="EG28" s="130"/>
      <c r="EH28" s="130"/>
      <c r="EI28" s="130"/>
      <c r="EJ28" s="130"/>
      <c r="EK28" s="130"/>
      <c r="EL28" s="130"/>
      <c r="EM28" s="68" t="s">
        <v>259</v>
      </c>
      <c r="EN28" s="68" t="s">
        <v>2</v>
      </c>
      <c r="EO28" s="129">
        <f>SUM(EN20:EN22)</f>
        <v>0</v>
      </c>
      <c r="EP28" s="130"/>
      <c r="EQ28" s="130"/>
      <c r="ER28" s="130"/>
      <c r="ES28" s="130"/>
      <c r="ET28" s="130"/>
      <c r="EU28" s="130"/>
      <c r="EV28" s="130"/>
      <c r="EW28" s="68" t="s">
        <v>259</v>
      </c>
      <c r="EX28" s="68" t="s">
        <v>2</v>
      </c>
      <c r="EY28" s="129">
        <f>SUM(EX20:EX22)</f>
        <v>0</v>
      </c>
      <c r="EZ28" s="130"/>
      <c r="FA28" s="130"/>
      <c r="FB28" s="130"/>
      <c r="FC28" s="130"/>
      <c r="FD28" s="130"/>
      <c r="FE28" s="130"/>
    </row>
    <row r="29" spans="1:161" x14ac:dyDescent="0.2">
      <c r="A29" s="130"/>
      <c r="B29" s="130"/>
      <c r="C29" s="130"/>
      <c r="D29" s="130"/>
      <c r="E29" s="130"/>
      <c r="F29" s="130"/>
      <c r="G29" s="130"/>
      <c r="H29" s="130"/>
      <c r="I29" s="130"/>
      <c r="J29" s="130"/>
      <c r="K29" s="130"/>
      <c r="L29" s="130"/>
      <c r="M29" s="130"/>
      <c r="N29" s="130"/>
      <c r="O29" s="130"/>
      <c r="P29" s="130"/>
      <c r="Q29" s="130"/>
      <c r="R29" s="130"/>
      <c r="S29" s="130" t="s">
        <v>244</v>
      </c>
      <c r="T29" s="129" t="s">
        <v>286</v>
      </c>
      <c r="U29" s="129">
        <f>COUNTIF(Outcomes!$L:$L,'Quant analysis'!$T29)</f>
        <v>0</v>
      </c>
      <c r="V29" s="19">
        <f>COUNTIFS(Outcomes!$L:$L,'Quant analysis'!$T29,Outcomes!$Q:$Q,V$1)</f>
        <v>0</v>
      </c>
      <c r="W29" s="19">
        <f>COUNTIFS(Outcomes!$L:$L,'Quant analysis'!$T29,Outcomes!$Q:$Q,W$1)</f>
        <v>0</v>
      </c>
      <c r="X29" s="19">
        <f>COUNTIFS(Outcomes!$L:$L,'Quant analysis'!$T29,Outcomes!$Q:$Q,X$1)</f>
        <v>0</v>
      </c>
      <c r="Y29" s="19">
        <f>COUNTIFS(Outcomes!$L:$L,'Quant analysis'!$T29,Outcomes!$Q:$Q,Y$1)</f>
        <v>0</v>
      </c>
      <c r="Z29" s="19">
        <f>COUNTIFS(Outcomes!$L:$L,'Quant analysis'!$T29,Outcomes!$Q:$Q,Z$1)</f>
        <v>0</v>
      </c>
      <c r="AA29" s="105">
        <f>COUNTIFS(Outcomes!$L:$L,'Quant analysis'!$T29,Outcomes!$Q:$Q,AA$1)</f>
        <v>0</v>
      </c>
      <c r="AB29" s="105">
        <f>COUNTIFS(Outcomes!$L:$L,'Quant analysis'!$T29,Outcomes!$Q:$Q,AB$1)</f>
        <v>0</v>
      </c>
      <c r="AC29" s="105">
        <f>COUNTIFS(Outcomes!$L:$L,'Quant analysis'!$T29,Outcomes!$Q:$Q,AC$1)</f>
        <v>0</v>
      </c>
      <c r="AD29" s="105">
        <f>COUNTIFS(Outcomes!$L:$L,'Quant analysis'!$T29,Outcomes!$Q:$Q,AD$1)</f>
        <v>0</v>
      </c>
      <c r="AE29" s="130">
        <f t="shared" si="0"/>
        <v>0</v>
      </c>
      <c r="AF29" s="130"/>
      <c r="AG29" s="130" t="s">
        <v>155</v>
      </c>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29" t="s">
        <v>263</v>
      </c>
      <c r="BU29" s="129" t="s">
        <v>287</v>
      </c>
      <c r="BV29" s="68">
        <f>COUNTIF(Outcomes!U:Y,'Quant analysis'!BU29)</f>
        <v>0</v>
      </c>
      <c r="BW29" s="19">
        <f>COUNTIFS(Outcomes!$U:$U,'Quant analysis'!$BU29,Outcomes!$Q:$Q,BW$1)+COUNTIFS(Outcomes!$V:$V,'Quant analysis'!$BU29,Outcomes!$Q:$Q,BW$1)+COUNTIFS(Outcomes!$W:$W,'Quant analysis'!$BU29,Outcomes!$Q:$Q,BW$1)+COUNTIFS(Outcomes!$X:$X,'Quant analysis'!$BU29,Outcomes!$Q:$Q,BW$1)+COUNTIFS(Outcomes!$Y:$Y,'Quant analysis'!$BU29,Outcomes!$Q:$Q,BW$1)</f>
        <v>0</v>
      </c>
      <c r="BX29" s="19">
        <f>COUNTIFS(Outcomes!$U:$U,'Quant analysis'!$BU29,Outcomes!$Q:$Q,BX$1)+COUNTIFS(Outcomes!$V:$V,'Quant analysis'!$BU29,Outcomes!$Q:$Q,BX$1)+COUNTIFS(Outcomes!$W:$W,'Quant analysis'!$BU29,Outcomes!$Q:$Q,BX$1)+COUNTIFS(Outcomes!$X:$X,'Quant analysis'!$BU29,Outcomes!$Q:$Q,BX$1)+COUNTIFS(Outcomes!$Y:$Y,'Quant analysis'!$BU29,Outcomes!$Q:$Q,BX$1)</f>
        <v>0</v>
      </c>
      <c r="BY29" s="19">
        <f>COUNTIFS(Outcomes!$U:$U,'Quant analysis'!$BU29,Outcomes!$Q:$Q,BY$1)+COUNTIFS(Outcomes!$V:$V,'Quant analysis'!$BU29,Outcomes!$Q:$Q,BY$1)+COUNTIFS(Outcomes!$W:$W,'Quant analysis'!$BU29,Outcomes!$Q:$Q,BY$1)+COUNTIFS(Outcomes!$X:$X,'Quant analysis'!$BU29,Outcomes!$Q:$Q,BY$1)+COUNTIFS(Outcomes!$Y:$Y,'Quant analysis'!$BU29,Outcomes!$Q:$Q,BY$1)</f>
        <v>0</v>
      </c>
      <c r="BZ29" s="19">
        <f>COUNTIFS(Outcomes!$U:$U,'Quant analysis'!$BU29,Outcomes!$Q:$Q,BZ$1)+COUNTIFS(Outcomes!$V:$V,'Quant analysis'!$BU29,Outcomes!$Q:$Q,BZ$1)+COUNTIFS(Outcomes!$W:$W,'Quant analysis'!$BU29,Outcomes!$Q:$Q,BZ$1)+COUNTIFS(Outcomes!$X:$X,'Quant analysis'!$BU29,Outcomes!$Q:$Q,BZ$1)+COUNTIFS(Outcomes!$Y:$Y,'Quant analysis'!$BU29,Outcomes!$Q:$Q,BZ$1)</f>
        <v>0</v>
      </c>
      <c r="CA29" s="19">
        <f>COUNTIFS(Outcomes!$U:$U,'Quant analysis'!$BU29,Outcomes!$Q:$Q,CA$1)+COUNTIFS(Outcomes!$V:$V,'Quant analysis'!$BU29,Outcomes!$Q:$Q,CA$1)+COUNTIFS(Outcomes!$W:$W,'Quant analysis'!$BU29,Outcomes!$Q:$Q,CA$1)+COUNTIFS(Outcomes!$X:$X,'Quant analysis'!$BU29,Outcomes!$Q:$Q,CA$1)+COUNTIFS(Outcomes!$Y:$Y,'Quant analysis'!$BU29,Outcomes!$Q:$Q,CA$1)</f>
        <v>0</v>
      </c>
      <c r="CB29" s="105">
        <f>COUNTIFS(Outcomes!$U:$U,'Quant analysis'!$BU29,Outcomes!$Q:$Q,CB$1)+COUNTIFS(Outcomes!$V:$V,'Quant analysis'!$BU29,Outcomes!$Q:$Q,CB$1)+COUNTIFS(Outcomes!$W:$W,'Quant analysis'!$BU29,Outcomes!$Q:$Q,CB$1)+COUNTIFS(Outcomes!$X:$X,'Quant analysis'!$BU29,Outcomes!$Q:$Q,CB$1)+COUNTIFS(Outcomes!$Y:$Y,'Quant analysis'!$BU29,Outcomes!$Q:$Q,CB$1)</f>
        <v>0</v>
      </c>
      <c r="CC29" s="105">
        <f>COUNTIFS(Outcomes!$U:$U,'Quant analysis'!$BU29,Outcomes!$Q:$Q,CC$1)+COUNTIFS(Outcomes!$V:$V,'Quant analysis'!$BU29,Outcomes!$Q:$Q,CC$1)+COUNTIFS(Outcomes!$W:$W,'Quant analysis'!$BU29,Outcomes!$Q:$Q,CC$1)+COUNTIFS(Outcomes!$X:$X,'Quant analysis'!$BU29,Outcomes!$Q:$Q,CC$1)+COUNTIFS(Outcomes!$Y:$Y,'Quant analysis'!$BU29,Outcomes!$Q:$Q,CC$1)</f>
        <v>0</v>
      </c>
      <c r="CD29" s="105">
        <f>COUNTIFS(Outcomes!$U:$U,'Quant analysis'!$BU29,Outcomes!$Q:$Q,CD$1)+COUNTIFS(Outcomes!$V:$V,'Quant analysis'!$BU29,Outcomes!$Q:$Q,CD$1)+COUNTIFS(Outcomes!$W:$W,'Quant analysis'!$BU29,Outcomes!$Q:$Q,CD$1)+COUNTIFS(Outcomes!$X:$X,'Quant analysis'!$BU29,Outcomes!$Q:$Q,CD$1)+COUNTIFS(Outcomes!$Y:$Y,'Quant analysis'!$BU29,Outcomes!$Q:$Q,CD$1)</f>
        <v>0</v>
      </c>
      <c r="CE29" s="105">
        <f>COUNTIFS(Outcomes!$U:$U,'Quant analysis'!$BU29,Outcomes!$Q:$Q,CE$1)+COUNTIFS(Outcomes!$V:$V,'Quant analysis'!$BU29,Outcomes!$Q:$Q,CE$1)+COUNTIFS(Outcomes!$W:$W,'Quant analysis'!$BU29,Outcomes!$Q:$Q,CE$1)+COUNTIFS(Outcomes!$X:$X,'Quant analysis'!$BU29,Outcomes!$Q:$Q,CE$1)+COUNTIFS(Outcomes!$Y:$Y,'Quant analysis'!$BU29,Outcomes!$Q:$Q,CE$1)</f>
        <v>0</v>
      </c>
      <c r="CF29" s="129">
        <f t="shared" si="4"/>
        <v>0</v>
      </c>
      <c r="CG29" s="130"/>
      <c r="CH29" s="130"/>
      <c r="CI29" s="130"/>
      <c r="CJ29" s="130"/>
      <c r="CK29" s="130"/>
      <c r="CL29" s="130"/>
      <c r="CM29" s="130"/>
      <c r="CN29" s="130"/>
      <c r="CO29" s="130"/>
      <c r="CP29" s="130"/>
      <c r="CQ29" s="130"/>
      <c r="CR29" s="130"/>
      <c r="CS29" s="130"/>
      <c r="CT29" s="130"/>
      <c r="CU29" s="130"/>
      <c r="CV29" s="131"/>
      <c r="CW29" s="129" t="s">
        <v>9</v>
      </c>
      <c r="CX29" s="129">
        <f>COUNTIFS(Table1[Outcome FY],'Quant analysis'!CX28,Table1[The Six Conditions of Systems Change (WORK IN PROGRESS)],'Quant analysis'!CW29,Table1[Level of influence],"national")</f>
        <v>0</v>
      </c>
      <c r="CY29" s="129">
        <f>COUNTIFS(Table1[Outcome FY],'Quant analysis'!CY28,Table1[The Six Conditions of Systems Change (WORK IN PROGRESS)],'Quant analysis'!CW29,Table1[Level of influence],"national")</f>
        <v>0</v>
      </c>
      <c r="CZ29" s="129">
        <f>COUNTIFS(Table1[Outcome FY],'Quant analysis'!CZ28,Table1[The Six Conditions of Systems Change (WORK IN PROGRESS)],'Quant analysis'!CW29,Table1[Level of influence],"national")</f>
        <v>0</v>
      </c>
      <c r="DA29" s="129">
        <f>COUNTIFS(Table1[Outcome FY],'Quant analysis'!DA28,Table1[The Six Conditions of Systems Change (WORK IN PROGRESS)],'Quant analysis'!CW29,Table1[Level of influence],"national")</f>
        <v>0</v>
      </c>
      <c r="DB29" s="129">
        <f>COUNTIFS(Table1[Outcome FY],'Quant analysis'!DB28,Table1[The Six Conditions of Systems Change (WORK IN PROGRESS)],'Quant analysis'!CW29,Table1[Level of influence],"national")</f>
        <v>0</v>
      </c>
      <c r="DC29" s="129">
        <f>COUNTIFS(Table1[Outcome FY],'Quant analysis'!DC28,Table1[The Six Conditions of Systems Change (WORK IN PROGRESS)],'Quant analysis'!CW29,Table1[Level of influence],"national")</f>
        <v>0</v>
      </c>
      <c r="DD29" s="129">
        <f>COUNTIFS(Table1[Outcome FY],'Quant analysis'!DD28,Table1[The Six Conditions of Systems Change (WORK IN PROGRESS)],'Quant analysis'!CW29,Table1[Level of influence],"national")</f>
        <v>0</v>
      </c>
      <c r="DE29" s="129">
        <f>SUM(CX29:DD29)</f>
        <v>0</v>
      </c>
      <c r="DF29" s="130"/>
      <c r="DG29" s="130"/>
      <c r="DH29" s="129" t="s">
        <v>263</v>
      </c>
      <c r="DI29" s="129" t="s">
        <v>287</v>
      </c>
      <c r="DJ29" s="68">
        <f t="shared" si="7"/>
        <v>0</v>
      </c>
      <c r="DK29" s="19">
        <f>COUNTIFS(Table1[Level of influence],"subnational",Table1[The Six Conditions of Systems Change (WORK IN PROGRESS)],"Policies",Table1[Output contribution 1],'Quant analysis'!DI29)+COUNTIFS(Table1[Level of influence],"subnational",Table1[The Six Conditions of Systems Change (WORK IN PROGRESS)],"Policies",Table1[Output contribution 2],'Quant analysis'!DI29)+COUNTIFS(Table1[Level of influence],"subnational",Table1[The Six Conditions of Systems Change (WORK IN PROGRESS)],"Policies",Table1[Output contribution 3],'Quant analysis'!DI29)+COUNTIFS(Table1[Level of influence],"subnational",Table1[The Six Conditions of Systems Change (WORK IN PROGRESS)],"Policies",Table1[Output contribution 4],'Quant analysis'!DI29)+COUNTIFS(Table1[Level of influence],"subnational",Table1[The Six Conditions of Systems Change (WORK IN PROGRESS)],"Policies",Table1[Output contribution 5],'Quant analysis'!DI29)+COUNTIFS(Table1[Level of influence],"national",Table1[The Six Conditions of Systems Change (WORK IN PROGRESS)],"Policies",Table1[Output contribution 1],'Quant analysis'!DI29)+COUNTIFS(Table1[Level of influence],"national",Table1[The Six Conditions of Systems Change (WORK IN PROGRESS)],"Policies",Table1[Output contribution 2],'Quant analysis'!DI29)+COUNTIFS(Table1[Level of influence],"national",Table1[The Six Conditions of Systems Change (WORK IN PROGRESS)],"Policies",Table1[Output contribution 3],'Quant analysis'!DI29)+COUNTIFS(Table1[Level of influence],"national",Table1[The Six Conditions of Systems Change (WORK IN PROGRESS)],"Policies",Table1[Output contribution 4],'Quant analysis'!DI29)+COUNTIFS(Table1[Level of influence],"national",Table1[The Six Conditions of Systems Change (WORK IN PROGRESS)],"Policies",Table1[Output contribution 5],'Quant analysis'!DI29)</f>
        <v>0</v>
      </c>
      <c r="DL29" s="19">
        <f>COUNTIFS(Table1[Level of influence],"subnational",Table1[The Six Conditions of Systems Change (WORK IN PROGRESS)],"Practices",Table1[Output contribution 1],'Quant analysis'!$DI29)+COUNTIFS(Table1[Level of influence],"subnational",Table1[The Six Conditions of Systems Change (WORK IN PROGRESS)],"Practices",Table1[Output contribution 2],'Quant analysis'!$DI29)+COUNTIFS(Table1[Level of influence],"subnational",Table1[The Six Conditions of Systems Change (WORK IN PROGRESS)],"Practices",Table1[Output contribution 3],'Quant analysis'!$DI29)+COUNTIFS(Table1[Level of influence],"subnational",Table1[The Six Conditions of Systems Change (WORK IN PROGRESS)],"Practices",Table1[Output contribution 4],'Quant analysis'!$DI29)+COUNTIFS(Table1[Level of influence],"subnational",Table1[The Six Conditions of Systems Change (WORK IN PROGRESS)],"Practices",Table1[Output contribution 5],'Quant analysis'!$DI29)+COUNTIFS(Table1[Level of influence],"national",Table1[The Six Conditions of Systems Change (WORK IN PROGRESS)],"Practices",Table1[Output contribution 1],'Quant analysis'!$DI29)+COUNTIFS(Table1[Level of influence],"national",Table1[The Six Conditions of Systems Change (WORK IN PROGRESS)],"Practices",Table1[Output contribution 2],'Quant analysis'!$DI29)+COUNTIFS(Table1[Level of influence],"national",Table1[The Six Conditions of Systems Change (WORK IN PROGRESS)],"Practices",Table1[Output contribution 3],'Quant analysis'!$DI29)+COUNTIFS(Table1[Level of influence],"national",Table1[The Six Conditions of Systems Change (WORK IN PROGRESS)],"Practices",Table1[Output contribution 4],'Quant analysis'!$DI29)+COUNTIFS(Table1[Level of influence],"national",Table1[The Six Conditions of Systems Change (WORK IN PROGRESS)],"Practices",Table1[Output contribution 5],'Quant analysis'!$DI29)</f>
        <v>0</v>
      </c>
      <c r="DM29" s="19">
        <f>COUNTIFS(Table1[Level of influence],"subnational",Table1[The Six Conditions of Systems Change (WORK IN PROGRESS)],DM$1,Table1[Output contribution 1],'Quant analysis'!$DI29)+COUNTIFS(Table1[Level of influence],"subnational",Table1[The Six Conditions of Systems Change (WORK IN PROGRESS)],DM$1,Table1[Output contribution 2],'Quant analysis'!$DI29)+COUNTIFS(Table1[Level of influence],"subnational",Table1[The Six Conditions of Systems Change (WORK IN PROGRESS)],DM$1,Table1[Output contribution 3],'Quant analysis'!$DI29)+COUNTIFS(Table1[Level of influence],"subnational",Table1[The Six Conditions of Systems Change (WORK IN PROGRESS)],DM$1,Table1[Output contribution 4],'Quant analysis'!$DI29)+COUNTIFS(Table1[Level of influence],"subnational",Table1[The Six Conditions of Systems Change (WORK IN PROGRESS)],DM$1,Table1[Output contribution 5],'Quant analysis'!$DI29)+COUNTIFS(Table1[Level of influence],"national",Table1[The Six Conditions of Systems Change (WORK IN PROGRESS)],DM$1,Table1[Output contribution 1],'Quant analysis'!$DI29)+COUNTIFS(Table1[Level of influence],"national",Table1[The Six Conditions of Systems Change (WORK IN PROGRESS)],DM$1,Table1[Output contribution 2],'Quant analysis'!$DI29)+COUNTIFS(Table1[Level of influence],"national",Table1[The Six Conditions of Systems Change (WORK IN PROGRESS)],DM$1,Table1[Output contribution 3],'Quant analysis'!$DI29)+COUNTIFS(Table1[Level of influence],"national",Table1[The Six Conditions of Systems Change (WORK IN PROGRESS)],DM$1,Table1[Output contribution 4],'Quant analysis'!$DI29)+COUNTIFS(Table1[Level of influence],"national",Table1[The Six Conditions of Systems Change (WORK IN PROGRESS)],DM$1,Table1[Output contribution 5],'Quant analysis'!$DI29)</f>
        <v>0</v>
      </c>
      <c r="DN29" s="19">
        <f>COUNTIFS(Table1[Level of influence],"subnational",Table1[The Six Conditions of Systems Change (WORK IN PROGRESS)],DN$1,Table1[Output contribution 1],'Quant analysis'!$DI29)+COUNTIFS(Table1[Level of influence],"subnational",Table1[The Six Conditions of Systems Change (WORK IN PROGRESS)],DN$1,Table1[Output contribution 2],'Quant analysis'!$DI29)+COUNTIFS(Table1[Level of influence],"subnational",Table1[The Six Conditions of Systems Change (WORK IN PROGRESS)],DN$1,Table1[Output contribution 3],'Quant analysis'!$DI29)+COUNTIFS(Table1[Level of influence],"subnational",Table1[The Six Conditions of Systems Change (WORK IN PROGRESS)],DN$1,Table1[Output contribution 4],'Quant analysis'!$DI29)+COUNTIFS(Table1[Level of influence],"subnational",Table1[The Six Conditions of Systems Change (WORK IN PROGRESS)],DN$1,Table1[Output contribution 5],'Quant analysis'!$DI29)+COUNTIFS(Table1[Level of influence],"national",Table1[The Six Conditions of Systems Change (WORK IN PROGRESS)],DN$1,Table1[Output contribution 1],'Quant analysis'!$DI29)+COUNTIFS(Table1[Level of influence],"national",Table1[The Six Conditions of Systems Change (WORK IN PROGRESS)],DN$1,Table1[Output contribution 2],'Quant analysis'!$DI29)+COUNTIFS(Table1[Level of influence],"national",Table1[The Six Conditions of Systems Change (WORK IN PROGRESS)],DN$1,Table1[Output contribution 3],'Quant analysis'!$DI29)+COUNTIFS(Table1[Level of influence],"national",Table1[The Six Conditions of Systems Change (WORK IN PROGRESS)],DN$1,Table1[Output contribution 4],'Quant analysis'!$DI29)+COUNTIFS(Table1[Level of influence],"national",Table1[The Six Conditions of Systems Change (WORK IN PROGRESS)],DN$1,Table1[Output contribution 5],'Quant analysis'!$DI29)</f>
        <v>0</v>
      </c>
      <c r="DO29" s="19">
        <f>COUNTIFS(Table1[Level of influence],"subnational",Table1[The Six Conditions of Systems Change (WORK IN PROGRESS)],DO$1,Table1[Output contribution 1],'Quant analysis'!$DI29)+COUNTIFS(Table1[Level of influence],"subnational",Table1[The Six Conditions of Systems Change (WORK IN PROGRESS)],DO$1,Table1[Output contribution 2],'Quant analysis'!$DI29)+COUNTIFS(Table1[Level of influence],"subnational",Table1[The Six Conditions of Systems Change (WORK IN PROGRESS)],DO$1,Table1[Output contribution 3],'Quant analysis'!$DI29)+COUNTIFS(Table1[Level of influence],"subnational",Table1[The Six Conditions of Systems Change (WORK IN PROGRESS)],DO$1,Table1[Output contribution 4],'Quant analysis'!$DI29)+COUNTIFS(Table1[Level of influence],"subnational",Table1[The Six Conditions of Systems Change (WORK IN PROGRESS)],DO$1,Table1[Output contribution 5],'Quant analysis'!$DI29)+COUNTIFS(Table1[Level of influence],"national",Table1[The Six Conditions of Systems Change (WORK IN PROGRESS)],DO$1,Table1[Output contribution 1],'Quant analysis'!$DI29)+COUNTIFS(Table1[Level of influence],"national",Table1[The Six Conditions of Systems Change (WORK IN PROGRESS)],DO$1,Table1[Output contribution 2],'Quant analysis'!$DI29)+COUNTIFS(Table1[Level of influence],"national",Table1[The Six Conditions of Systems Change (WORK IN PROGRESS)],DO$1,Table1[Output contribution 3],'Quant analysis'!$DI29)+COUNTIFS(Table1[Level of influence],"national",Table1[The Six Conditions of Systems Change (WORK IN PROGRESS)],DO$1,Table1[Output contribution 4],'Quant analysis'!$DI29)+COUNTIFS(Table1[Level of influence],"national",Table1[The Six Conditions of Systems Change (WORK IN PROGRESS)],DO$1,Table1[Output contribution 5],'Quant analysis'!$DI29)</f>
        <v>0</v>
      </c>
      <c r="DP29" s="19">
        <f>COUNTIFS(Table1[Level of influence],"subnational",Table1[The Six Conditions of Systems Change (WORK IN PROGRESS)],DP$1,Table1[Output contribution 1],'Quant analysis'!$DI29)+COUNTIFS(Table1[Level of influence],"subnational",Table1[The Six Conditions of Systems Change (WORK IN PROGRESS)],DP$1,Table1[Output contribution 2],'Quant analysis'!$DI29)+COUNTIFS(Table1[Level of influence],"subnational",Table1[The Six Conditions of Systems Change (WORK IN PROGRESS)],DP$1,Table1[Output contribution 3],'Quant analysis'!$DI29)+COUNTIFS(Table1[Level of influence],"subnational",Table1[The Six Conditions of Systems Change (WORK IN PROGRESS)],DP$1,Table1[Output contribution 4],'Quant analysis'!$DI29)+COUNTIFS(Table1[Level of influence],"subnational",Table1[The Six Conditions of Systems Change (WORK IN PROGRESS)],DP$1,Table1[Output contribution 5],'Quant analysis'!$DI29)+COUNTIFS(Table1[Level of influence],"national",Table1[The Six Conditions of Systems Change (WORK IN PROGRESS)],DP$1,Table1[Output contribution 1],'Quant analysis'!$DI29)+COUNTIFS(Table1[Level of influence],"national",Table1[The Six Conditions of Systems Change (WORK IN PROGRESS)],DP$1,Table1[Output contribution 2],'Quant analysis'!$DI29)+COUNTIFS(Table1[Level of influence],"national",Table1[The Six Conditions of Systems Change (WORK IN PROGRESS)],DP$1,Table1[Output contribution 3],'Quant analysis'!$DI29)+COUNTIFS(Table1[Level of influence],"national",Table1[The Six Conditions of Systems Change (WORK IN PROGRESS)],DP$1,Table1[Output contribution 4],'Quant analysis'!$DI29)+COUNTIFS(Table1[Level of influence],"national",Table1[The Six Conditions of Systems Change (WORK IN PROGRESS)],DP$1,Table1[Output contribution 5],'Quant analysis'!$DI29)</f>
        <v>0</v>
      </c>
      <c r="DQ29" s="130"/>
      <c r="DR29" s="130"/>
      <c r="DS29" s="157" t="s">
        <v>288</v>
      </c>
      <c r="DT29" s="129">
        <f>COUNTIFS(Table1[The Six Conditions of Systems Change (WORK IN PROGRESS)],'Quant analysis'!DT$1,Table1[Level of influence],"subnational",Table1['# of quarters between first contribution statement ],'Quant analysis'!$DS29)+COUNTIFS(Table1[The Six Conditions of Systems Change (WORK IN PROGRESS)],'Quant analysis'!DT$1,Table1[Level of influence],"national",Table1['# of quarters between first contribution statement ],'Quant analysis'!$DS29)</f>
        <v>0</v>
      </c>
      <c r="DU29" s="129">
        <f>COUNTIFS(Table1[The Six Conditions of Systems Change (WORK IN PROGRESS)],'Quant analysis'!DU$1,Table1[Level of influence],"subnational",Table1['# of quarters between first contribution statement ],'Quant analysis'!$DS29)+COUNTIFS(Table1[The Six Conditions of Systems Change (WORK IN PROGRESS)],'Quant analysis'!DU$1,Table1[Level of influence],"national",Table1['# of quarters between first contribution statement ],'Quant analysis'!$DS29)</f>
        <v>0</v>
      </c>
      <c r="DV29" s="129">
        <f>COUNTIFS(Table1[The Six Conditions of Systems Change (WORK IN PROGRESS)],'Quant analysis'!DV$1,Table1[Level of influence],"subnational",Table1['# of quarters between first contribution statement ],'Quant analysis'!$DS29)+COUNTIFS(Table1[The Six Conditions of Systems Change (WORK IN PROGRESS)],'Quant analysis'!DV$1,Table1[Level of influence],"national",Table1['# of quarters between first contribution statement ],'Quant analysis'!$DS29)</f>
        <v>0</v>
      </c>
      <c r="DW29" s="129">
        <f>COUNTIFS(Table1[The Six Conditions of Systems Change (WORK IN PROGRESS)],'Quant analysis'!DW$1,Table1[Level of influence],"subnational",Table1['# of quarters between first contribution statement ],'Quant analysis'!$DS29)+COUNTIFS(Table1[The Six Conditions of Systems Change (WORK IN PROGRESS)],'Quant analysis'!DW$1,Table1[Level of influence],"national",Table1['# of quarters between first contribution statement ],'Quant analysis'!$DS29)</f>
        <v>0</v>
      </c>
      <c r="DX29" s="129">
        <f>COUNTIFS(Table1[The Six Conditions of Systems Change (WORK IN PROGRESS)],'Quant analysis'!DX$1,Table1[Level of influence],"subnational",Table1['# of quarters between first contribution statement ],'Quant analysis'!$DS29)+COUNTIFS(Table1[The Six Conditions of Systems Change (WORK IN PROGRESS)],'Quant analysis'!DX$1,Table1[Level of influence],"national",Table1['# of quarters between first contribution statement ],'Quant analysis'!$DS29)</f>
        <v>0</v>
      </c>
      <c r="DY29" s="129">
        <f>COUNTIFS(Table1[The Six Conditions of Systems Change (WORK IN PROGRESS)],'Quant analysis'!DY$1,Table1[Level of influence],"subnational",Table1['# of quarters between first contribution statement ],'Quant analysis'!$DS29)+COUNTIFS(Table1[The Six Conditions of Systems Change (WORK IN PROGRESS)],'Quant analysis'!DY$1,Table1[Level of influence],"national",Table1['# of quarters between first contribution statement ],'Quant analysis'!$DS29)</f>
        <v>0</v>
      </c>
      <c r="DZ29" s="129"/>
      <c r="EA29" s="130"/>
      <c r="EB29" s="68"/>
      <c r="EC29" s="68" t="s">
        <v>3</v>
      </c>
      <c r="ED29" s="129">
        <f>SUM(ED20:ED22)</f>
        <v>0</v>
      </c>
      <c r="EE29" s="130"/>
      <c r="EF29" s="130"/>
      <c r="EG29" s="130"/>
      <c r="EH29" s="130"/>
      <c r="EI29" s="130"/>
      <c r="EJ29" s="130"/>
      <c r="EK29" s="130"/>
      <c r="EL29" s="130"/>
      <c r="EM29" s="68"/>
      <c r="EN29" s="68" t="s">
        <v>3</v>
      </c>
      <c r="EO29" s="129">
        <f>SUM(EO20:EO22)</f>
        <v>0</v>
      </c>
      <c r="EP29" s="130"/>
      <c r="EQ29" s="130"/>
      <c r="ER29" s="130"/>
      <c r="ES29" s="130"/>
      <c r="ET29" s="130"/>
      <c r="EU29" s="130"/>
      <c r="EV29" s="130"/>
      <c r="EW29" s="68"/>
      <c r="EX29" s="68" t="s">
        <v>3</v>
      </c>
      <c r="EY29" s="129">
        <f>SUM(EY20:EY22)</f>
        <v>0</v>
      </c>
      <c r="EZ29" s="130"/>
      <c r="FA29" s="130"/>
      <c r="FB29" s="130"/>
      <c r="FC29" s="130"/>
      <c r="FD29" s="130"/>
      <c r="FE29" s="130"/>
    </row>
    <row r="30" spans="1:161" x14ac:dyDescent="0.2">
      <c r="A30" s="130"/>
      <c r="B30" s="130"/>
      <c r="C30" s="130"/>
      <c r="D30" s="130"/>
      <c r="E30" s="130"/>
      <c r="F30" s="130"/>
      <c r="G30" s="130"/>
      <c r="H30" s="130"/>
      <c r="I30" s="130"/>
      <c r="J30" s="130"/>
      <c r="K30" s="130"/>
      <c r="L30" s="130"/>
      <c r="M30" s="130"/>
      <c r="N30" s="130"/>
      <c r="O30" s="130"/>
      <c r="P30" s="130"/>
      <c r="Q30" s="130"/>
      <c r="R30" s="130"/>
      <c r="S30" s="130"/>
      <c r="T30" s="130"/>
      <c r="U30" s="16">
        <f>SUM(U2:U29)</f>
        <v>0</v>
      </c>
      <c r="V30" s="18">
        <f>SUM(V2:V29)</f>
        <v>0</v>
      </c>
      <c r="W30" s="18">
        <f t="shared" ref="W30:AD30" si="19">SUM(W2:W29)</f>
        <v>0</v>
      </c>
      <c r="X30" s="18">
        <f t="shared" si="19"/>
        <v>0</v>
      </c>
      <c r="Y30" s="18">
        <f t="shared" si="19"/>
        <v>0</v>
      </c>
      <c r="Z30" s="18">
        <f t="shared" si="19"/>
        <v>0</v>
      </c>
      <c r="AA30" s="18">
        <f t="shared" si="19"/>
        <v>0</v>
      </c>
      <c r="AB30" s="18">
        <f t="shared" si="19"/>
        <v>0</v>
      </c>
      <c r="AC30" s="18">
        <f t="shared" si="19"/>
        <v>0</v>
      </c>
      <c r="AD30" s="18">
        <f t="shared" si="19"/>
        <v>0</v>
      </c>
      <c r="AE30" s="130"/>
      <c r="AF30" s="130"/>
      <c r="AG30" s="130" t="s">
        <v>351</v>
      </c>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29" t="s">
        <v>263</v>
      </c>
      <c r="BU30" s="129" t="s">
        <v>289</v>
      </c>
      <c r="BV30" s="68">
        <f>COUNTIF(Outcomes!U:Y,'Quant analysis'!BU30)</f>
        <v>0</v>
      </c>
      <c r="BW30" s="19">
        <f>COUNTIFS(Outcomes!$U:$U,'Quant analysis'!$BU30,Outcomes!$Q:$Q,BW$1)+COUNTIFS(Outcomes!$V:$V,'Quant analysis'!$BU30,Outcomes!$Q:$Q,BW$1)+COUNTIFS(Outcomes!$W:$W,'Quant analysis'!$BU30,Outcomes!$Q:$Q,BW$1)+COUNTIFS(Outcomes!$X:$X,'Quant analysis'!$BU30,Outcomes!$Q:$Q,BW$1)+COUNTIFS(Outcomes!$Y:$Y,'Quant analysis'!$BU30,Outcomes!$Q:$Q,BW$1)</f>
        <v>0</v>
      </c>
      <c r="BX30" s="19">
        <f>COUNTIFS(Outcomes!$U:$U,'Quant analysis'!$BU30,Outcomes!$Q:$Q,BX$1)+COUNTIFS(Outcomes!$V:$V,'Quant analysis'!$BU30,Outcomes!$Q:$Q,BX$1)+COUNTIFS(Outcomes!$W:$W,'Quant analysis'!$BU30,Outcomes!$Q:$Q,BX$1)+COUNTIFS(Outcomes!$X:$X,'Quant analysis'!$BU30,Outcomes!$Q:$Q,BX$1)+COUNTIFS(Outcomes!$Y:$Y,'Quant analysis'!$BU30,Outcomes!$Q:$Q,BX$1)</f>
        <v>0</v>
      </c>
      <c r="BY30" s="19">
        <f>COUNTIFS(Outcomes!$U:$U,'Quant analysis'!$BU30,Outcomes!$Q:$Q,BY$1)+COUNTIFS(Outcomes!$V:$V,'Quant analysis'!$BU30,Outcomes!$Q:$Q,BY$1)+COUNTIFS(Outcomes!$W:$W,'Quant analysis'!$BU30,Outcomes!$Q:$Q,BY$1)+COUNTIFS(Outcomes!$X:$X,'Quant analysis'!$BU30,Outcomes!$Q:$Q,BY$1)+COUNTIFS(Outcomes!$Y:$Y,'Quant analysis'!$BU30,Outcomes!$Q:$Q,BY$1)</f>
        <v>0</v>
      </c>
      <c r="BZ30" s="19">
        <f>COUNTIFS(Outcomes!$U:$U,'Quant analysis'!$BU30,Outcomes!$Q:$Q,BZ$1)+COUNTIFS(Outcomes!$V:$V,'Quant analysis'!$BU30,Outcomes!$Q:$Q,BZ$1)+COUNTIFS(Outcomes!$W:$W,'Quant analysis'!$BU30,Outcomes!$Q:$Q,BZ$1)+COUNTIFS(Outcomes!$X:$X,'Quant analysis'!$BU30,Outcomes!$Q:$Q,BZ$1)+COUNTIFS(Outcomes!$Y:$Y,'Quant analysis'!$BU30,Outcomes!$Q:$Q,BZ$1)</f>
        <v>0</v>
      </c>
      <c r="CA30" s="19">
        <f>COUNTIFS(Outcomes!$U:$U,'Quant analysis'!$BU30,Outcomes!$Q:$Q,CA$1)+COUNTIFS(Outcomes!$V:$V,'Quant analysis'!$BU30,Outcomes!$Q:$Q,CA$1)+COUNTIFS(Outcomes!$W:$W,'Quant analysis'!$BU30,Outcomes!$Q:$Q,CA$1)+COUNTIFS(Outcomes!$X:$X,'Quant analysis'!$BU30,Outcomes!$Q:$Q,CA$1)+COUNTIFS(Outcomes!$Y:$Y,'Quant analysis'!$BU30,Outcomes!$Q:$Q,CA$1)</f>
        <v>0</v>
      </c>
      <c r="CB30" s="105">
        <f>COUNTIFS(Outcomes!$U:$U,'Quant analysis'!$BU30,Outcomes!$Q:$Q,CB$1)+COUNTIFS(Outcomes!$V:$V,'Quant analysis'!$BU30,Outcomes!$Q:$Q,CB$1)+COUNTIFS(Outcomes!$W:$W,'Quant analysis'!$BU30,Outcomes!$Q:$Q,CB$1)+COUNTIFS(Outcomes!$X:$X,'Quant analysis'!$BU30,Outcomes!$Q:$Q,CB$1)+COUNTIFS(Outcomes!$Y:$Y,'Quant analysis'!$BU30,Outcomes!$Q:$Q,CB$1)</f>
        <v>0</v>
      </c>
      <c r="CC30" s="105">
        <f>COUNTIFS(Outcomes!$U:$U,'Quant analysis'!$BU30,Outcomes!$Q:$Q,CC$1)+COUNTIFS(Outcomes!$V:$V,'Quant analysis'!$BU30,Outcomes!$Q:$Q,CC$1)+COUNTIFS(Outcomes!$W:$W,'Quant analysis'!$BU30,Outcomes!$Q:$Q,CC$1)+COUNTIFS(Outcomes!$X:$X,'Quant analysis'!$BU30,Outcomes!$Q:$Q,CC$1)+COUNTIFS(Outcomes!$Y:$Y,'Quant analysis'!$BU30,Outcomes!$Q:$Q,CC$1)</f>
        <v>0</v>
      </c>
      <c r="CD30" s="105">
        <f>COUNTIFS(Outcomes!$U:$U,'Quant analysis'!$BU30,Outcomes!$Q:$Q,CD$1)+COUNTIFS(Outcomes!$V:$V,'Quant analysis'!$BU30,Outcomes!$Q:$Q,CD$1)+COUNTIFS(Outcomes!$W:$W,'Quant analysis'!$BU30,Outcomes!$Q:$Q,CD$1)+COUNTIFS(Outcomes!$X:$X,'Quant analysis'!$BU30,Outcomes!$Q:$Q,CD$1)+COUNTIFS(Outcomes!$Y:$Y,'Quant analysis'!$BU30,Outcomes!$Q:$Q,CD$1)</f>
        <v>0</v>
      </c>
      <c r="CE30" s="105">
        <f>COUNTIFS(Outcomes!$U:$U,'Quant analysis'!$BU30,Outcomes!$Q:$Q,CE$1)+COUNTIFS(Outcomes!$V:$V,'Quant analysis'!$BU30,Outcomes!$Q:$Q,CE$1)+COUNTIFS(Outcomes!$W:$W,'Quant analysis'!$BU30,Outcomes!$Q:$Q,CE$1)+COUNTIFS(Outcomes!$X:$X,'Quant analysis'!$BU30,Outcomes!$Q:$Q,CE$1)+COUNTIFS(Outcomes!$Y:$Y,'Quant analysis'!$BU30,Outcomes!$Q:$Q,CE$1)</f>
        <v>0</v>
      </c>
      <c r="CF30" s="129">
        <f t="shared" si="4"/>
        <v>0</v>
      </c>
      <c r="CG30" s="130"/>
      <c r="CH30" s="130"/>
      <c r="CI30" s="130"/>
      <c r="CJ30" s="130"/>
      <c r="CK30" s="130"/>
      <c r="CL30" s="130"/>
      <c r="CM30" s="130"/>
      <c r="CN30" s="130"/>
      <c r="CO30" s="130"/>
      <c r="CP30" s="130"/>
      <c r="CQ30" s="130"/>
      <c r="CR30" s="130"/>
      <c r="CS30" s="130"/>
      <c r="CT30" s="130"/>
      <c r="CU30" s="130"/>
      <c r="CV30" s="131"/>
      <c r="CW30" s="129" t="s">
        <v>11</v>
      </c>
      <c r="CX30" s="129">
        <f>COUNTIFS(Table1[Outcome FY],'Quant analysis'!CX28,Table1[The Six Conditions of Systems Change (WORK IN PROGRESS)],'Quant analysis'!CW30,Table1[Level of influence],"national")</f>
        <v>0</v>
      </c>
      <c r="CY30" s="129">
        <f>COUNTIFS(Table1[Outcome FY],'Quant analysis'!CY28,Table1[The Six Conditions of Systems Change (WORK IN PROGRESS)],'Quant analysis'!CW30,Table1[Level of influence],"national")</f>
        <v>0</v>
      </c>
      <c r="CZ30" s="129">
        <f>COUNTIFS(Table1[Outcome FY],'Quant analysis'!CZ28,Table1[The Six Conditions of Systems Change (WORK IN PROGRESS)],'Quant analysis'!CW30,Table1[Level of influence],"national")</f>
        <v>0</v>
      </c>
      <c r="DA30" s="129">
        <f>COUNTIFS(Table1[Outcome FY],'Quant analysis'!DA28,Table1[The Six Conditions of Systems Change (WORK IN PROGRESS)],'Quant analysis'!CW30,Table1[Level of influence],"national")</f>
        <v>0</v>
      </c>
      <c r="DB30" s="129">
        <f>COUNTIFS(Table1[Outcome FY],'Quant analysis'!DB28,Table1[The Six Conditions of Systems Change (WORK IN PROGRESS)],'Quant analysis'!CW30,Table1[Level of influence],"national")</f>
        <v>0</v>
      </c>
      <c r="DC30" s="129">
        <f>COUNTIFS(Table1[Outcome FY],'Quant analysis'!DC28,Table1[The Six Conditions of Systems Change (WORK IN PROGRESS)],'Quant analysis'!CW30,Table1[Level of influence],"national")</f>
        <v>0</v>
      </c>
      <c r="DD30" s="129">
        <f>COUNTIFS(Table1[Outcome FY],'Quant analysis'!DD28,Table1[The Six Conditions of Systems Change (WORK IN PROGRESS)],'Quant analysis'!CW30,Table1[Level of influence],"national")</f>
        <v>0</v>
      </c>
      <c r="DE30" s="129">
        <f t="shared" ref="DE30:DE34" si="20">SUM(CX30:DD30)</f>
        <v>0</v>
      </c>
      <c r="DF30" s="130"/>
      <c r="DG30" s="130"/>
      <c r="DH30" s="129" t="s">
        <v>263</v>
      </c>
      <c r="DI30" s="129" t="s">
        <v>289</v>
      </c>
      <c r="DJ30" s="68">
        <f t="shared" si="7"/>
        <v>0</v>
      </c>
      <c r="DK30" s="19">
        <f>COUNTIFS(Table1[Level of influence],"subnational",Table1[The Six Conditions of Systems Change (WORK IN PROGRESS)],"Policies",Table1[Output contribution 1],'Quant analysis'!DI30)+COUNTIFS(Table1[Level of influence],"subnational",Table1[The Six Conditions of Systems Change (WORK IN PROGRESS)],"Policies",Table1[Output contribution 2],'Quant analysis'!DI30)+COUNTIFS(Table1[Level of influence],"subnational",Table1[The Six Conditions of Systems Change (WORK IN PROGRESS)],"Policies",Table1[Output contribution 3],'Quant analysis'!DI30)+COUNTIFS(Table1[Level of influence],"subnational",Table1[The Six Conditions of Systems Change (WORK IN PROGRESS)],"Policies",Table1[Output contribution 4],'Quant analysis'!DI30)+COUNTIFS(Table1[Level of influence],"subnational",Table1[The Six Conditions of Systems Change (WORK IN PROGRESS)],"Policies",Table1[Output contribution 5],'Quant analysis'!DI30)+COUNTIFS(Table1[Level of influence],"national",Table1[The Six Conditions of Systems Change (WORK IN PROGRESS)],"Policies",Table1[Output contribution 1],'Quant analysis'!DI30)+COUNTIFS(Table1[Level of influence],"national",Table1[The Six Conditions of Systems Change (WORK IN PROGRESS)],"Policies",Table1[Output contribution 2],'Quant analysis'!DI30)+COUNTIFS(Table1[Level of influence],"national",Table1[The Six Conditions of Systems Change (WORK IN PROGRESS)],"Policies",Table1[Output contribution 3],'Quant analysis'!DI30)+COUNTIFS(Table1[Level of influence],"national",Table1[The Six Conditions of Systems Change (WORK IN PROGRESS)],"Policies",Table1[Output contribution 4],'Quant analysis'!DI30)+COUNTIFS(Table1[Level of influence],"national",Table1[The Six Conditions of Systems Change (WORK IN PROGRESS)],"Policies",Table1[Output contribution 5],'Quant analysis'!DI30)</f>
        <v>0</v>
      </c>
      <c r="DL30" s="19">
        <f>COUNTIFS(Table1[Level of influence],"subnational",Table1[The Six Conditions of Systems Change (WORK IN PROGRESS)],"Practices",Table1[Output contribution 1],'Quant analysis'!$DI30)+COUNTIFS(Table1[Level of influence],"subnational",Table1[The Six Conditions of Systems Change (WORK IN PROGRESS)],"Practices",Table1[Output contribution 2],'Quant analysis'!$DI30)+COUNTIFS(Table1[Level of influence],"subnational",Table1[The Six Conditions of Systems Change (WORK IN PROGRESS)],"Practices",Table1[Output contribution 3],'Quant analysis'!$DI30)+COUNTIFS(Table1[Level of influence],"subnational",Table1[The Six Conditions of Systems Change (WORK IN PROGRESS)],"Practices",Table1[Output contribution 4],'Quant analysis'!$DI30)+COUNTIFS(Table1[Level of influence],"subnational",Table1[The Six Conditions of Systems Change (WORK IN PROGRESS)],"Practices",Table1[Output contribution 5],'Quant analysis'!$DI30)+COUNTIFS(Table1[Level of influence],"national",Table1[The Six Conditions of Systems Change (WORK IN PROGRESS)],"Practices",Table1[Output contribution 1],'Quant analysis'!$DI30)+COUNTIFS(Table1[Level of influence],"national",Table1[The Six Conditions of Systems Change (WORK IN PROGRESS)],"Practices",Table1[Output contribution 2],'Quant analysis'!$DI30)+COUNTIFS(Table1[Level of influence],"national",Table1[The Six Conditions of Systems Change (WORK IN PROGRESS)],"Practices",Table1[Output contribution 3],'Quant analysis'!$DI30)+COUNTIFS(Table1[Level of influence],"national",Table1[The Six Conditions of Systems Change (WORK IN PROGRESS)],"Practices",Table1[Output contribution 4],'Quant analysis'!$DI30)+COUNTIFS(Table1[Level of influence],"national",Table1[The Six Conditions of Systems Change (WORK IN PROGRESS)],"Practices",Table1[Output contribution 5],'Quant analysis'!$DI30)</f>
        <v>0</v>
      </c>
      <c r="DM30" s="19">
        <f>COUNTIFS(Table1[Level of influence],"subnational",Table1[The Six Conditions of Systems Change (WORK IN PROGRESS)],DM$1,Table1[Output contribution 1],'Quant analysis'!$DI30)+COUNTIFS(Table1[Level of influence],"subnational",Table1[The Six Conditions of Systems Change (WORK IN PROGRESS)],DM$1,Table1[Output contribution 2],'Quant analysis'!$DI30)+COUNTIFS(Table1[Level of influence],"subnational",Table1[The Six Conditions of Systems Change (WORK IN PROGRESS)],DM$1,Table1[Output contribution 3],'Quant analysis'!$DI30)+COUNTIFS(Table1[Level of influence],"subnational",Table1[The Six Conditions of Systems Change (WORK IN PROGRESS)],DM$1,Table1[Output contribution 4],'Quant analysis'!$DI30)+COUNTIFS(Table1[Level of influence],"subnational",Table1[The Six Conditions of Systems Change (WORK IN PROGRESS)],DM$1,Table1[Output contribution 5],'Quant analysis'!$DI30)+COUNTIFS(Table1[Level of influence],"national",Table1[The Six Conditions of Systems Change (WORK IN PROGRESS)],DM$1,Table1[Output contribution 1],'Quant analysis'!$DI30)+COUNTIFS(Table1[Level of influence],"national",Table1[The Six Conditions of Systems Change (WORK IN PROGRESS)],DM$1,Table1[Output contribution 2],'Quant analysis'!$DI30)+COUNTIFS(Table1[Level of influence],"national",Table1[The Six Conditions of Systems Change (WORK IN PROGRESS)],DM$1,Table1[Output contribution 3],'Quant analysis'!$DI30)+COUNTIFS(Table1[Level of influence],"national",Table1[The Six Conditions of Systems Change (WORK IN PROGRESS)],DM$1,Table1[Output contribution 4],'Quant analysis'!$DI30)+COUNTIFS(Table1[Level of influence],"national",Table1[The Six Conditions of Systems Change (WORK IN PROGRESS)],DM$1,Table1[Output contribution 5],'Quant analysis'!$DI30)</f>
        <v>0</v>
      </c>
      <c r="DN30" s="19">
        <f>COUNTIFS(Table1[Level of influence],"subnational",Table1[The Six Conditions of Systems Change (WORK IN PROGRESS)],DN$1,Table1[Output contribution 1],'Quant analysis'!$DI30)+COUNTIFS(Table1[Level of influence],"subnational",Table1[The Six Conditions of Systems Change (WORK IN PROGRESS)],DN$1,Table1[Output contribution 2],'Quant analysis'!$DI30)+COUNTIFS(Table1[Level of influence],"subnational",Table1[The Six Conditions of Systems Change (WORK IN PROGRESS)],DN$1,Table1[Output contribution 3],'Quant analysis'!$DI30)+COUNTIFS(Table1[Level of influence],"subnational",Table1[The Six Conditions of Systems Change (WORK IN PROGRESS)],DN$1,Table1[Output contribution 4],'Quant analysis'!$DI30)+COUNTIFS(Table1[Level of influence],"subnational",Table1[The Six Conditions of Systems Change (WORK IN PROGRESS)],DN$1,Table1[Output contribution 5],'Quant analysis'!$DI30)+COUNTIFS(Table1[Level of influence],"national",Table1[The Six Conditions of Systems Change (WORK IN PROGRESS)],DN$1,Table1[Output contribution 1],'Quant analysis'!$DI30)+COUNTIFS(Table1[Level of influence],"national",Table1[The Six Conditions of Systems Change (WORK IN PROGRESS)],DN$1,Table1[Output contribution 2],'Quant analysis'!$DI30)+COUNTIFS(Table1[Level of influence],"national",Table1[The Six Conditions of Systems Change (WORK IN PROGRESS)],DN$1,Table1[Output contribution 3],'Quant analysis'!$DI30)+COUNTIFS(Table1[Level of influence],"national",Table1[The Six Conditions of Systems Change (WORK IN PROGRESS)],DN$1,Table1[Output contribution 4],'Quant analysis'!$DI30)+COUNTIFS(Table1[Level of influence],"national",Table1[The Six Conditions of Systems Change (WORK IN PROGRESS)],DN$1,Table1[Output contribution 5],'Quant analysis'!$DI30)</f>
        <v>0</v>
      </c>
      <c r="DO30" s="19">
        <f>COUNTIFS(Table1[Level of influence],"subnational",Table1[The Six Conditions of Systems Change (WORK IN PROGRESS)],DO$1,Table1[Output contribution 1],'Quant analysis'!$DI30)+COUNTIFS(Table1[Level of influence],"subnational",Table1[The Six Conditions of Systems Change (WORK IN PROGRESS)],DO$1,Table1[Output contribution 2],'Quant analysis'!$DI30)+COUNTIFS(Table1[Level of influence],"subnational",Table1[The Six Conditions of Systems Change (WORK IN PROGRESS)],DO$1,Table1[Output contribution 3],'Quant analysis'!$DI30)+COUNTIFS(Table1[Level of influence],"subnational",Table1[The Six Conditions of Systems Change (WORK IN PROGRESS)],DO$1,Table1[Output contribution 4],'Quant analysis'!$DI30)+COUNTIFS(Table1[Level of influence],"subnational",Table1[The Six Conditions of Systems Change (WORK IN PROGRESS)],DO$1,Table1[Output contribution 5],'Quant analysis'!$DI30)+COUNTIFS(Table1[Level of influence],"national",Table1[The Six Conditions of Systems Change (WORK IN PROGRESS)],DO$1,Table1[Output contribution 1],'Quant analysis'!$DI30)+COUNTIFS(Table1[Level of influence],"national",Table1[The Six Conditions of Systems Change (WORK IN PROGRESS)],DO$1,Table1[Output contribution 2],'Quant analysis'!$DI30)+COUNTIFS(Table1[Level of influence],"national",Table1[The Six Conditions of Systems Change (WORK IN PROGRESS)],DO$1,Table1[Output contribution 3],'Quant analysis'!$DI30)+COUNTIFS(Table1[Level of influence],"national",Table1[The Six Conditions of Systems Change (WORK IN PROGRESS)],DO$1,Table1[Output contribution 4],'Quant analysis'!$DI30)+COUNTIFS(Table1[Level of influence],"national",Table1[The Six Conditions of Systems Change (WORK IN PROGRESS)],DO$1,Table1[Output contribution 5],'Quant analysis'!$DI30)</f>
        <v>0</v>
      </c>
      <c r="DP30" s="19">
        <f>COUNTIFS(Table1[Level of influence],"subnational",Table1[The Six Conditions of Systems Change (WORK IN PROGRESS)],DP$1,Table1[Output contribution 1],'Quant analysis'!$DI30)+COUNTIFS(Table1[Level of influence],"subnational",Table1[The Six Conditions of Systems Change (WORK IN PROGRESS)],DP$1,Table1[Output contribution 2],'Quant analysis'!$DI30)+COUNTIFS(Table1[Level of influence],"subnational",Table1[The Six Conditions of Systems Change (WORK IN PROGRESS)],DP$1,Table1[Output contribution 3],'Quant analysis'!$DI30)+COUNTIFS(Table1[Level of influence],"subnational",Table1[The Six Conditions of Systems Change (WORK IN PROGRESS)],DP$1,Table1[Output contribution 4],'Quant analysis'!$DI30)+COUNTIFS(Table1[Level of influence],"subnational",Table1[The Six Conditions of Systems Change (WORK IN PROGRESS)],DP$1,Table1[Output contribution 5],'Quant analysis'!$DI30)+COUNTIFS(Table1[Level of influence],"national",Table1[The Six Conditions of Systems Change (WORK IN PROGRESS)],DP$1,Table1[Output contribution 1],'Quant analysis'!$DI30)+COUNTIFS(Table1[Level of influence],"national",Table1[The Six Conditions of Systems Change (WORK IN PROGRESS)],DP$1,Table1[Output contribution 2],'Quant analysis'!$DI30)+COUNTIFS(Table1[Level of influence],"national",Table1[The Six Conditions of Systems Change (WORK IN PROGRESS)],DP$1,Table1[Output contribution 3],'Quant analysis'!$DI30)+COUNTIFS(Table1[Level of influence],"national",Table1[The Six Conditions of Systems Change (WORK IN PROGRESS)],DP$1,Table1[Output contribution 4],'Quant analysis'!$DI30)+COUNTIFS(Table1[Level of influence],"national",Table1[The Six Conditions of Systems Change (WORK IN PROGRESS)],DP$1,Table1[Output contribution 5],'Quant analysis'!$DI30)</f>
        <v>0</v>
      </c>
      <c r="DQ30" s="130"/>
      <c r="DR30" s="130"/>
      <c r="DS30" s="157" t="s">
        <v>290</v>
      </c>
      <c r="DT30" s="129">
        <f>COUNTIFS(Table1[The Six Conditions of Systems Change (WORK IN PROGRESS)],'Quant analysis'!DT$1,Table1[Level of influence],"subnational",Table1['# of quarters between first contribution statement ],'Quant analysis'!$DS30)+COUNTIFS(Table1[The Six Conditions of Systems Change (WORK IN PROGRESS)],'Quant analysis'!DT$1,Table1[Level of influence],"national",Table1['# of quarters between first contribution statement ],'Quant analysis'!$DS30)</f>
        <v>0</v>
      </c>
      <c r="DU30" s="129">
        <f>COUNTIFS(Table1[The Six Conditions of Systems Change (WORK IN PROGRESS)],'Quant analysis'!DU$1,Table1[Level of influence],"subnational",Table1['# of quarters between first contribution statement ],'Quant analysis'!$DS30)+COUNTIFS(Table1[The Six Conditions of Systems Change (WORK IN PROGRESS)],'Quant analysis'!DU$1,Table1[Level of influence],"national",Table1['# of quarters between first contribution statement ],'Quant analysis'!$DS30)</f>
        <v>0</v>
      </c>
      <c r="DV30" s="129">
        <f>COUNTIFS(Table1[The Six Conditions of Systems Change (WORK IN PROGRESS)],'Quant analysis'!DV$1,Table1[Level of influence],"subnational",Table1['# of quarters between first contribution statement ],'Quant analysis'!$DS30)+COUNTIFS(Table1[The Six Conditions of Systems Change (WORK IN PROGRESS)],'Quant analysis'!DV$1,Table1[Level of influence],"national",Table1['# of quarters between first contribution statement ],'Quant analysis'!$DS30)</f>
        <v>0</v>
      </c>
      <c r="DW30" s="129">
        <f>COUNTIFS(Table1[The Six Conditions of Systems Change (WORK IN PROGRESS)],'Quant analysis'!DW$1,Table1[Level of influence],"subnational",Table1['# of quarters between first contribution statement ],'Quant analysis'!$DS30)+COUNTIFS(Table1[The Six Conditions of Systems Change (WORK IN PROGRESS)],'Quant analysis'!DW$1,Table1[Level of influence],"national",Table1['# of quarters between first contribution statement ],'Quant analysis'!$DS30)</f>
        <v>0</v>
      </c>
      <c r="DX30" s="129">
        <f>COUNTIFS(Table1[The Six Conditions of Systems Change (WORK IN PROGRESS)],'Quant analysis'!DX$1,Table1[Level of influence],"subnational",Table1['# of quarters between first contribution statement ],'Quant analysis'!$DS30)+COUNTIFS(Table1[The Six Conditions of Systems Change (WORK IN PROGRESS)],'Quant analysis'!DX$1,Table1[Level of influence],"national",Table1['# of quarters between first contribution statement ],'Quant analysis'!$DS30)</f>
        <v>0</v>
      </c>
      <c r="DY30" s="129">
        <f>COUNTIFS(Table1[The Six Conditions of Systems Change (WORK IN PROGRESS)],'Quant analysis'!DY$1,Table1[Level of influence],"subnational",Table1['# of quarters between first contribution statement ],'Quant analysis'!$DS30)+COUNTIFS(Table1[The Six Conditions of Systems Change (WORK IN PROGRESS)],'Quant analysis'!DY$1,Table1[Level of influence],"national",Table1['# of quarters between first contribution statement ],'Quant analysis'!$DS30)</f>
        <v>0</v>
      </c>
      <c r="DZ30" s="129"/>
      <c r="EA30" s="130"/>
      <c r="EB30" s="68"/>
      <c r="EC30" s="68" t="s">
        <v>4</v>
      </c>
      <c r="ED30" s="129">
        <f>SUM(EE20:EE22)</f>
        <v>0</v>
      </c>
      <c r="EE30" s="130"/>
      <c r="EF30" s="130"/>
      <c r="EG30" s="130"/>
      <c r="EH30" s="130"/>
      <c r="EI30" s="130"/>
      <c r="EJ30" s="130"/>
      <c r="EK30" s="130"/>
      <c r="EL30" s="130"/>
      <c r="EM30" s="68"/>
      <c r="EN30" s="68" t="s">
        <v>4</v>
      </c>
      <c r="EO30" s="129">
        <f>SUM(EP20:EP22)</f>
        <v>0</v>
      </c>
      <c r="EP30" s="130"/>
      <c r="EQ30" s="130"/>
      <c r="ER30" s="130"/>
      <c r="ES30" s="130"/>
      <c r="ET30" s="130"/>
      <c r="EU30" s="130"/>
      <c r="EV30" s="130"/>
      <c r="EW30" s="68"/>
      <c r="EX30" s="68" t="s">
        <v>4</v>
      </c>
      <c r="EY30" s="129">
        <f>SUM(EZ20:EZ22)</f>
        <v>0</v>
      </c>
      <c r="EZ30" s="130"/>
      <c r="FA30" s="130"/>
      <c r="FB30" s="130"/>
      <c r="FC30" s="130"/>
      <c r="FD30" s="130"/>
      <c r="FE30" s="130"/>
    </row>
    <row r="31" spans="1:161" x14ac:dyDescent="0.2">
      <c r="A31" s="130"/>
      <c r="B31" s="130"/>
      <c r="C31" s="130"/>
      <c r="D31" s="130"/>
      <c r="E31" s="130"/>
      <c r="F31" s="130"/>
      <c r="G31" s="130"/>
      <c r="H31" s="130"/>
      <c r="I31" s="130"/>
      <c r="J31" s="130"/>
      <c r="K31" s="130"/>
      <c r="L31" s="130"/>
      <c r="M31" s="130"/>
      <c r="N31" s="130"/>
      <c r="O31" s="130"/>
      <c r="P31" s="130"/>
      <c r="Q31" s="130"/>
      <c r="R31" s="130"/>
      <c r="S31" s="130"/>
      <c r="T31" s="27" t="s">
        <v>248</v>
      </c>
      <c r="U31" s="130"/>
      <c r="V31" s="130"/>
      <c r="W31" s="130"/>
      <c r="X31" s="130"/>
      <c r="Y31" s="130"/>
      <c r="Z31" s="130"/>
      <c r="AA31" s="130"/>
      <c r="AB31" s="130"/>
      <c r="AC31" s="130"/>
      <c r="AD31" s="130">
        <f>SUM(V30:AD30)</f>
        <v>0</v>
      </c>
      <c r="AE31" s="130"/>
      <c r="AF31" s="130"/>
      <c r="AG31" s="130" t="s">
        <v>99</v>
      </c>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29" t="s">
        <v>263</v>
      </c>
      <c r="BU31" s="129" t="s">
        <v>165</v>
      </c>
      <c r="BV31" s="68">
        <f>COUNTIF(Outcomes!U:Y,'Quant analysis'!BU31)</f>
        <v>0</v>
      </c>
      <c r="BW31" s="19">
        <f>COUNTIFS(Outcomes!$U:$U,'Quant analysis'!$BU31,Outcomes!$Q:$Q,BW$1)+COUNTIFS(Outcomes!$V:$V,'Quant analysis'!$BU31,Outcomes!$Q:$Q,BW$1)+COUNTIFS(Outcomes!$W:$W,'Quant analysis'!$BU31,Outcomes!$Q:$Q,BW$1)+COUNTIFS(Outcomes!$X:$X,'Quant analysis'!$BU31,Outcomes!$Q:$Q,BW$1)+COUNTIFS(Outcomes!$Y:$Y,'Quant analysis'!$BU31,Outcomes!$Q:$Q,BW$1)</f>
        <v>0</v>
      </c>
      <c r="BX31" s="19">
        <f>COUNTIFS(Outcomes!$U:$U,'Quant analysis'!$BU31,Outcomes!$Q:$Q,BX$1)+COUNTIFS(Outcomes!$V:$V,'Quant analysis'!$BU31,Outcomes!$Q:$Q,BX$1)+COUNTIFS(Outcomes!$W:$W,'Quant analysis'!$BU31,Outcomes!$Q:$Q,BX$1)+COUNTIFS(Outcomes!$X:$X,'Quant analysis'!$BU31,Outcomes!$Q:$Q,BX$1)+COUNTIFS(Outcomes!$Y:$Y,'Quant analysis'!$BU31,Outcomes!$Q:$Q,BX$1)</f>
        <v>0</v>
      </c>
      <c r="BY31" s="19">
        <f>COUNTIFS(Outcomes!$U:$U,'Quant analysis'!$BU31,Outcomes!$Q:$Q,BY$1)+COUNTIFS(Outcomes!$V:$V,'Quant analysis'!$BU31,Outcomes!$Q:$Q,BY$1)+COUNTIFS(Outcomes!$W:$W,'Quant analysis'!$BU31,Outcomes!$Q:$Q,BY$1)+COUNTIFS(Outcomes!$X:$X,'Quant analysis'!$BU31,Outcomes!$Q:$Q,BY$1)+COUNTIFS(Outcomes!$Y:$Y,'Quant analysis'!$BU31,Outcomes!$Q:$Q,BY$1)</f>
        <v>0</v>
      </c>
      <c r="BZ31" s="19">
        <f>COUNTIFS(Outcomes!$U:$U,'Quant analysis'!$BU31,Outcomes!$Q:$Q,BZ$1)+COUNTIFS(Outcomes!$V:$V,'Quant analysis'!$BU31,Outcomes!$Q:$Q,BZ$1)+COUNTIFS(Outcomes!$W:$W,'Quant analysis'!$BU31,Outcomes!$Q:$Q,BZ$1)+COUNTIFS(Outcomes!$X:$X,'Quant analysis'!$BU31,Outcomes!$Q:$Q,BZ$1)+COUNTIFS(Outcomes!$Y:$Y,'Quant analysis'!$BU31,Outcomes!$Q:$Q,BZ$1)</f>
        <v>0</v>
      </c>
      <c r="CA31" s="19">
        <f>COUNTIFS(Outcomes!$U:$U,'Quant analysis'!$BU31,Outcomes!$Q:$Q,CA$1)+COUNTIFS(Outcomes!$V:$V,'Quant analysis'!$BU31,Outcomes!$Q:$Q,CA$1)+COUNTIFS(Outcomes!$W:$W,'Quant analysis'!$BU31,Outcomes!$Q:$Q,CA$1)+COUNTIFS(Outcomes!$X:$X,'Quant analysis'!$BU31,Outcomes!$Q:$Q,CA$1)+COUNTIFS(Outcomes!$Y:$Y,'Quant analysis'!$BU31,Outcomes!$Q:$Q,CA$1)</f>
        <v>0</v>
      </c>
      <c r="CB31" s="105">
        <f>COUNTIFS(Outcomes!$U:$U,'Quant analysis'!$BU31,Outcomes!$Q:$Q,CB$1)+COUNTIFS(Outcomes!$V:$V,'Quant analysis'!$BU31,Outcomes!$Q:$Q,CB$1)+COUNTIFS(Outcomes!$W:$W,'Quant analysis'!$BU31,Outcomes!$Q:$Q,CB$1)+COUNTIFS(Outcomes!$X:$X,'Quant analysis'!$BU31,Outcomes!$Q:$Q,CB$1)+COUNTIFS(Outcomes!$Y:$Y,'Quant analysis'!$BU31,Outcomes!$Q:$Q,CB$1)</f>
        <v>0</v>
      </c>
      <c r="CC31" s="105">
        <f>COUNTIFS(Outcomes!$U:$U,'Quant analysis'!$BU31,Outcomes!$Q:$Q,CC$1)+COUNTIFS(Outcomes!$V:$V,'Quant analysis'!$BU31,Outcomes!$Q:$Q,CC$1)+COUNTIFS(Outcomes!$W:$W,'Quant analysis'!$BU31,Outcomes!$Q:$Q,CC$1)+COUNTIFS(Outcomes!$X:$X,'Quant analysis'!$BU31,Outcomes!$Q:$Q,CC$1)+COUNTIFS(Outcomes!$Y:$Y,'Quant analysis'!$BU31,Outcomes!$Q:$Q,CC$1)</f>
        <v>0</v>
      </c>
      <c r="CD31" s="105">
        <f>COUNTIFS(Outcomes!$U:$U,'Quant analysis'!$BU31,Outcomes!$Q:$Q,CD$1)+COUNTIFS(Outcomes!$V:$V,'Quant analysis'!$BU31,Outcomes!$Q:$Q,CD$1)+COUNTIFS(Outcomes!$W:$W,'Quant analysis'!$BU31,Outcomes!$Q:$Q,CD$1)+COUNTIFS(Outcomes!$X:$X,'Quant analysis'!$BU31,Outcomes!$Q:$Q,CD$1)+COUNTIFS(Outcomes!$Y:$Y,'Quant analysis'!$BU31,Outcomes!$Q:$Q,CD$1)</f>
        <v>0</v>
      </c>
      <c r="CE31" s="105">
        <f>COUNTIFS(Outcomes!$U:$U,'Quant analysis'!$BU31,Outcomes!$Q:$Q,CE$1)+COUNTIFS(Outcomes!$V:$V,'Quant analysis'!$BU31,Outcomes!$Q:$Q,CE$1)+COUNTIFS(Outcomes!$W:$W,'Quant analysis'!$BU31,Outcomes!$Q:$Q,CE$1)+COUNTIFS(Outcomes!$X:$X,'Quant analysis'!$BU31,Outcomes!$Q:$Q,CE$1)+COUNTIFS(Outcomes!$Y:$Y,'Quant analysis'!$BU31,Outcomes!$Q:$Q,CE$1)</f>
        <v>0</v>
      </c>
      <c r="CF31" s="129">
        <f t="shared" si="4"/>
        <v>0</v>
      </c>
      <c r="CG31" s="130"/>
      <c r="CH31" s="130"/>
      <c r="CI31" s="130"/>
      <c r="CJ31" s="130"/>
      <c r="CK31" s="130"/>
      <c r="CL31" s="130"/>
      <c r="CM31" s="130"/>
      <c r="CN31" s="130"/>
      <c r="CO31" s="130"/>
      <c r="CP31" s="130"/>
      <c r="CQ31" s="130"/>
      <c r="CR31" s="130"/>
      <c r="CS31" s="130"/>
      <c r="CT31" s="130"/>
      <c r="CU31" s="130"/>
      <c r="CV31" s="131"/>
      <c r="CW31" s="129" t="s">
        <v>13</v>
      </c>
      <c r="CX31" s="129">
        <f>COUNTIFS(Table1[Outcome FY],'Quant analysis'!CX28,Table1[The Six Conditions of Systems Change (WORK IN PROGRESS)],'Quant analysis'!CW31,Table1[Level of influence],"national")</f>
        <v>0</v>
      </c>
      <c r="CY31" s="129">
        <f>COUNTIFS(Table1[Outcome FY],'Quant analysis'!CY28,Table1[The Six Conditions of Systems Change (WORK IN PROGRESS)],'Quant analysis'!CW31,Table1[Level of influence],"national")</f>
        <v>0</v>
      </c>
      <c r="CZ31" s="129">
        <f>COUNTIFS(Table1[Outcome FY],'Quant analysis'!CZ28,Table1[The Six Conditions of Systems Change (WORK IN PROGRESS)],'Quant analysis'!CW31,Table1[Level of influence],"national")</f>
        <v>0</v>
      </c>
      <c r="DA31" s="129">
        <f>COUNTIFS(Table1[Outcome FY],'Quant analysis'!DA28,Table1[The Six Conditions of Systems Change (WORK IN PROGRESS)],'Quant analysis'!CW31,Table1[Level of influence],"national")</f>
        <v>0</v>
      </c>
      <c r="DB31" s="129">
        <f>COUNTIFS(Table1[Outcome FY],'Quant analysis'!DB28,Table1[The Six Conditions of Systems Change (WORK IN PROGRESS)],'Quant analysis'!CW31,Table1[Level of influence],"national")</f>
        <v>0</v>
      </c>
      <c r="DC31" s="129">
        <f>COUNTIFS(Table1[Outcome FY],'Quant analysis'!DC28,Table1[The Six Conditions of Systems Change (WORK IN PROGRESS)],'Quant analysis'!CW31,Table1[Level of influence],"national")</f>
        <v>0</v>
      </c>
      <c r="DD31" s="129">
        <f>COUNTIFS(Table1[Outcome FY],'Quant analysis'!DD28,Table1[The Six Conditions of Systems Change (WORK IN PROGRESS)],'Quant analysis'!CW31,Table1[Level of influence],"national")</f>
        <v>0</v>
      </c>
      <c r="DE31" s="129">
        <f t="shared" si="20"/>
        <v>0</v>
      </c>
      <c r="DF31" s="130"/>
      <c r="DG31" s="130"/>
      <c r="DH31" s="129" t="s">
        <v>263</v>
      </c>
      <c r="DI31" s="129" t="s">
        <v>165</v>
      </c>
      <c r="DJ31" s="68">
        <f t="shared" si="7"/>
        <v>0</v>
      </c>
      <c r="DK31" s="19">
        <f>COUNTIFS(Table1[Level of influence],"subnational",Table1[The Six Conditions of Systems Change (WORK IN PROGRESS)],"Policies",Table1[Output contribution 1],'Quant analysis'!DI31)+COUNTIFS(Table1[Level of influence],"subnational",Table1[The Six Conditions of Systems Change (WORK IN PROGRESS)],"Policies",Table1[Output contribution 2],'Quant analysis'!DI31)+COUNTIFS(Table1[Level of influence],"subnational",Table1[The Six Conditions of Systems Change (WORK IN PROGRESS)],"Policies",Table1[Output contribution 3],'Quant analysis'!DI31)+COUNTIFS(Table1[Level of influence],"subnational",Table1[The Six Conditions of Systems Change (WORK IN PROGRESS)],"Policies",Table1[Output contribution 4],'Quant analysis'!DI31)+COUNTIFS(Table1[Level of influence],"subnational",Table1[The Six Conditions of Systems Change (WORK IN PROGRESS)],"Policies",Table1[Output contribution 5],'Quant analysis'!DI31)+COUNTIFS(Table1[Level of influence],"national",Table1[The Six Conditions of Systems Change (WORK IN PROGRESS)],"Policies",Table1[Output contribution 1],'Quant analysis'!DI31)+COUNTIFS(Table1[Level of influence],"national",Table1[The Six Conditions of Systems Change (WORK IN PROGRESS)],"Policies",Table1[Output contribution 2],'Quant analysis'!DI31)+COUNTIFS(Table1[Level of influence],"national",Table1[The Six Conditions of Systems Change (WORK IN PROGRESS)],"Policies",Table1[Output contribution 3],'Quant analysis'!DI31)+COUNTIFS(Table1[Level of influence],"national",Table1[The Six Conditions of Systems Change (WORK IN PROGRESS)],"Policies",Table1[Output contribution 4],'Quant analysis'!DI31)+COUNTIFS(Table1[Level of influence],"national",Table1[The Six Conditions of Systems Change (WORK IN PROGRESS)],"Policies",Table1[Output contribution 5],'Quant analysis'!DI31)</f>
        <v>0</v>
      </c>
      <c r="DL31" s="19">
        <f>COUNTIFS(Table1[Level of influence],"subnational",Table1[The Six Conditions of Systems Change (WORK IN PROGRESS)],"Practices",Table1[Output contribution 1],'Quant analysis'!$DI31)+COUNTIFS(Table1[Level of influence],"subnational",Table1[The Six Conditions of Systems Change (WORK IN PROGRESS)],"Practices",Table1[Output contribution 2],'Quant analysis'!$DI31)+COUNTIFS(Table1[Level of influence],"subnational",Table1[The Six Conditions of Systems Change (WORK IN PROGRESS)],"Practices",Table1[Output contribution 3],'Quant analysis'!$DI31)+COUNTIFS(Table1[Level of influence],"subnational",Table1[The Six Conditions of Systems Change (WORK IN PROGRESS)],"Practices",Table1[Output contribution 4],'Quant analysis'!$DI31)+COUNTIFS(Table1[Level of influence],"subnational",Table1[The Six Conditions of Systems Change (WORK IN PROGRESS)],"Practices",Table1[Output contribution 5],'Quant analysis'!$DI31)+COUNTIFS(Table1[Level of influence],"national",Table1[The Six Conditions of Systems Change (WORK IN PROGRESS)],"Practices",Table1[Output contribution 1],'Quant analysis'!$DI31)+COUNTIFS(Table1[Level of influence],"national",Table1[The Six Conditions of Systems Change (WORK IN PROGRESS)],"Practices",Table1[Output contribution 2],'Quant analysis'!$DI31)+COUNTIFS(Table1[Level of influence],"national",Table1[The Six Conditions of Systems Change (WORK IN PROGRESS)],"Practices",Table1[Output contribution 3],'Quant analysis'!$DI31)+COUNTIFS(Table1[Level of influence],"national",Table1[The Six Conditions of Systems Change (WORK IN PROGRESS)],"Practices",Table1[Output contribution 4],'Quant analysis'!$DI31)+COUNTIFS(Table1[Level of influence],"national",Table1[The Six Conditions of Systems Change (WORK IN PROGRESS)],"Practices",Table1[Output contribution 5],'Quant analysis'!$DI31)</f>
        <v>0</v>
      </c>
      <c r="DM31" s="19">
        <f>COUNTIFS(Table1[Level of influence],"subnational",Table1[The Six Conditions of Systems Change (WORK IN PROGRESS)],DM$1,Table1[Output contribution 1],'Quant analysis'!$DI31)+COUNTIFS(Table1[Level of influence],"subnational",Table1[The Six Conditions of Systems Change (WORK IN PROGRESS)],DM$1,Table1[Output contribution 2],'Quant analysis'!$DI31)+COUNTIFS(Table1[Level of influence],"subnational",Table1[The Six Conditions of Systems Change (WORK IN PROGRESS)],DM$1,Table1[Output contribution 3],'Quant analysis'!$DI31)+COUNTIFS(Table1[Level of influence],"subnational",Table1[The Six Conditions of Systems Change (WORK IN PROGRESS)],DM$1,Table1[Output contribution 4],'Quant analysis'!$DI31)+COUNTIFS(Table1[Level of influence],"subnational",Table1[The Six Conditions of Systems Change (WORK IN PROGRESS)],DM$1,Table1[Output contribution 5],'Quant analysis'!$DI31)+COUNTIFS(Table1[Level of influence],"national",Table1[The Six Conditions of Systems Change (WORK IN PROGRESS)],DM$1,Table1[Output contribution 1],'Quant analysis'!$DI31)+COUNTIFS(Table1[Level of influence],"national",Table1[The Six Conditions of Systems Change (WORK IN PROGRESS)],DM$1,Table1[Output contribution 2],'Quant analysis'!$DI31)+COUNTIFS(Table1[Level of influence],"national",Table1[The Six Conditions of Systems Change (WORK IN PROGRESS)],DM$1,Table1[Output contribution 3],'Quant analysis'!$DI31)+COUNTIFS(Table1[Level of influence],"national",Table1[The Six Conditions of Systems Change (WORK IN PROGRESS)],DM$1,Table1[Output contribution 4],'Quant analysis'!$DI31)+COUNTIFS(Table1[Level of influence],"national",Table1[The Six Conditions of Systems Change (WORK IN PROGRESS)],DM$1,Table1[Output contribution 5],'Quant analysis'!$DI31)</f>
        <v>0</v>
      </c>
      <c r="DN31" s="19">
        <f>COUNTIFS(Table1[Level of influence],"subnational",Table1[The Six Conditions of Systems Change (WORK IN PROGRESS)],DN$1,Table1[Output contribution 1],'Quant analysis'!$DI31)+COUNTIFS(Table1[Level of influence],"subnational",Table1[The Six Conditions of Systems Change (WORK IN PROGRESS)],DN$1,Table1[Output contribution 2],'Quant analysis'!$DI31)+COUNTIFS(Table1[Level of influence],"subnational",Table1[The Six Conditions of Systems Change (WORK IN PROGRESS)],DN$1,Table1[Output contribution 3],'Quant analysis'!$DI31)+COUNTIFS(Table1[Level of influence],"subnational",Table1[The Six Conditions of Systems Change (WORK IN PROGRESS)],DN$1,Table1[Output contribution 4],'Quant analysis'!$DI31)+COUNTIFS(Table1[Level of influence],"subnational",Table1[The Six Conditions of Systems Change (WORK IN PROGRESS)],DN$1,Table1[Output contribution 5],'Quant analysis'!$DI31)+COUNTIFS(Table1[Level of influence],"national",Table1[The Six Conditions of Systems Change (WORK IN PROGRESS)],DN$1,Table1[Output contribution 1],'Quant analysis'!$DI31)+COUNTIFS(Table1[Level of influence],"national",Table1[The Six Conditions of Systems Change (WORK IN PROGRESS)],DN$1,Table1[Output contribution 2],'Quant analysis'!$DI31)+COUNTIFS(Table1[Level of influence],"national",Table1[The Six Conditions of Systems Change (WORK IN PROGRESS)],DN$1,Table1[Output contribution 3],'Quant analysis'!$DI31)+COUNTIFS(Table1[Level of influence],"national",Table1[The Six Conditions of Systems Change (WORK IN PROGRESS)],DN$1,Table1[Output contribution 4],'Quant analysis'!$DI31)+COUNTIFS(Table1[Level of influence],"national",Table1[The Six Conditions of Systems Change (WORK IN PROGRESS)],DN$1,Table1[Output contribution 5],'Quant analysis'!$DI31)</f>
        <v>0</v>
      </c>
      <c r="DO31" s="19">
        <f>COUNTIFS(Table1[Level of influence],"subnational",Table1[The Six Conditions of Systems Change (WORK IN PROGRESS)],DO$1,Table1[Output contribution 1],'Quant analysis'!$DI31)+COUNTIFS(Table1[Level of influence],"subnational",Table1[The Six Conditions of Systems Change (WORK IN PROGRESS)],DO$1,Table1[Output contribution 2],'Quant analysis'!$DI31)+COUNTIFS(Table1[Level of influence],"subnational",Table1[The Six Conditions of Systems Change (WORK IN PROGRESS)],DO$1,Table1[Output contribution 3],'Quant analysis'!$DI31)+COUNTIFS(Table1[Level of influence],"subnational",Table1[The Six Conditions of Systems Change (WORK IN PROGRESS)],DO$1,Table1[Output contribution 4],'Quant analysis'!$DI31)+COUNTIFS(Table1[Level of influence],"subnational",Table1[The Six Conditions of Systems Change (WORK IN PROGRESS)],DO$1,Table1[Output contribution 5],'Quant analysis'!$DI31)+COUNTIFS(Table1[Level of influence],"national",Table1[The Six Conditions of Systems Change (WORK IN PROGRESS)],DO$1,Table1[Output contribution 1],'Quant analysis'!$DI31)+COUNTIFS(Table1[Level of influence],"national",Table1[The Six Conditions of Systems Change (WORK IN PROGRESS)],DO$1,Table1[Output contribution 2],'Quant analysis'!$DI31)+COUNTIFS(Table1[Level of influence],"national",Table1[The Six Conditions of Systems Change (WORK IN PROGRESS)],DO$1,Table1[Output contribution 3],'Quant analysis'!$DI31)+COUNTIFS(Table1[Level of influence],"national",Table1[The Six Conditions of Systems Change (WORK IN PROGRESS)],DO$1,Table1[Output contribution 4],'Quant analysis'!$DI31)+COUNTIFS(Table1[Level of influence],"national",Table1[The Six Conditions of Systems Change (WORK IN PROGRESS)],DO$1,Table1[Output contribution 5],'Quant analysis'!$DI31)</f>
        <v>0</v>
      </c>
      <c r="DP31" s="19">
        <f>COUNTIFS(Table1[Level of influence],"subnational",Table1[The Six Conditions of Systems Change (WORK IN PROGRESS)],DP$1,Table1[Output contribution 1],'Quant analysis'!$DI31)+COUNTIFS(Table1[Level of influence],"subnational",Table1[The Six Conditions of Systems Change (WORK IN PROGRESS)],DP$1,Table1[Output contribution 2],'Quant analysis'!$DI31)+COUNTIFS(Table1[Level of influence],"subnational",Table1[The Six Conditions of Systems Change (WORK IN PROGRESS)],DP$1,Table1[Output contribution 3],'Quant analysis'!$DI31)+COUNTIFS(Table1[Level of influence],"subnational",Table1[The Six Conditions of Systems Change (WORK IN PROGRESS)],DP$1,Table1[Output contribution 4],'Quant analysis'!$DI31)+COUNTIFS(Table1[Level of influence],"subnational",Table1[The Six Conditions of Systems Change (WORK IN PROGRESS)],DP$1,Table1[Output contribution 5],'Quant analysis'!$DI31)+COUNTIFS(Table1[Level of influence],"national",Table1[The Six Conditions of Systems Change (WORK IN PROGRESS)],DP$1,Table1[Output contribution 1],'Quant analysis'!$DI31)+COUNTIFS(Table1[Level of influence],"national",Table1[The Six Conditions of Systems Change (WORK IN PROGRESS)],DP$1,Table1[Output contribution 2],'Quant analysis'!$DI31)+COUNTIFS(Table1[Level of influence],"national",Table1[The Six Conditions of Systems Change (WORK IN PROGRESS)],DP$1,Table1[Output contribution 3],'Quant analysis'!$DI31)+COUNTIFS(Table1[Level of influence],"national",Table1[The Six Conditions of Systems Change (WORK IN PROGRESS)],DP$1,Table1[Output contribution 4],'Quant analysis'!$DI31)+COUNTIFS(Table1[Level of influence],"national",Table1[The Six Conditions of Systems Change (WORK IN PROGRESS)],DP$1,Table1[Output contribution 5],'Quant analysis'!$DI31)</f>
        <v>0</v>
      </c>
      <c r="DQ31" s="130"/>
      <c r="DR31" s="130"/>
      <c r="DS31" s="157" t="s">
        <v>291</v>
      </c>
      <c r="DT31" s="129">
        <f>COUNTIFS(Table1[The Six Conditions of Systems Change (WORK IN PROGRESS)],'Quant analysis'!DT$1,Table1[Level of influence],"subnational",Table1['# of quarters between first contribution statement ],'Quant analysis'!$DS31)+COUNTIFS(Table1[The Six Conditions of Systems Change (WORK IN PROGRESS)],'Quant analysis'!DT$1,Table1[Level of influence],"national",Table1['# of quarters between first contribution statement ],'Quant analysis'!$DS31)</f>
        <v>0</v>
      </c>
      <c r="DU31" s="129">
        <f>COUNTIFS(Table1[The Six Conditions of Systems Change (WORK IN PROGRESS)],'Quant analysis'!DU$1,Table1[Level of influence],"subnational",Table1['# of quarters between first contribution statement ],'Quant analysis'!$DS31)+COUNTIFS(Table1[The Six Conditions of Systems Change (WORK IN PROGRESS)],'Quant analysis'!DU$1,Table1[Level of influence],"national",Table1['# of quarters between first contribution statement ],'Quant analysis'!$DS31)</f>
        <v>0</v>
      </c>
      <c r="DV31" s="129">
        <f>COUNTIFS(Table1[The Six Conditions of Systems Change (WORK IN PROGRESS)],'Quant analysis'!DV$1,Table1[Level of influence],"subnational",Table1['# of quarters between first contribution statement ],'Quant analysis'!$DS31)+COUNTIFS(Table1[The Six Conditions of Systems Change (WORK IN PROGRESS)],'Quant analysis'!DV$1,Table1[Level of influence],"national",Table1['# of quarters between first contribution statement ],'Quant analysis'!$DS31)</f>
        <v>0</v>
      </c>
      <c r="DW31" s="129">
        <f>COUNTIFS(Table1[The Six Conditions of Systems Change (WORK IN PROGRESS)],'Quant analysis'!DW$1,Table1[Level of influence],"subnational",Table1['# of quarters between first contribution statement ],'Quant analysis'!$DS31)+COUNTIFS(Table1[The Six Conditions of Systems Change (WORK IN PROGRESS)],'Quant analysis'!DW$1,Table1[Level of influence],"national",Table1['# of quarters between first contribution statement ],'Quant analysis'!$DS31)</f>
        <v>0</v>
      </c>
      <c r="DX31" s="129">
        <f>COUNTIFS(Table1[The Six Conditions of Systems Change (WORK IN PROGRESS)],'Quant analysis'!DX$1,Table1[Level of influence],"subnational",Table1['# of quarters between first contribution statement ],'Quant analysis'!$DS31)+COUNTIFS(Table1[The Six Conditions of Systems Change (WORK IN PROGRESS)],'Quant analysis'!DX$1,Table1[Level of influence],"national",Table1['# of quarters between first contribution statement ],'Quant analysis'!$DS31)</f>
        <v>0</v>
      </c>
      <c r="DY31" s="129">
        <f>COUNTIFS(Table1[The Six Conditions of Systems Change (WORK IN PROGRESS)],'Quant analysis'!DY$1,Table1[Level of influence],"subnational",Table1['# of quarters between first contribution statement ],'Quant analysis'!$DS31)+COUNTIFS(Table1[The Six Conditions of Systems Change (WORK IN PROGRESS)],'Quant analysis'!DY$1,Table1[Level of influence],"national",Table1['# of quarters between first contribution statement ],'Quant analysis'!$DS31)</f>
        <v>0</v>
      </c>
      <c r="DZ31" s="129"/>
      <c r="EA31" s="130"/>
      <c r="EB31" s="68"/>
      <c r="EC31" s="68" t="s">
        <v>5</v>
      </c>
      <c r="ED31" s="129">
        <f>SUM(EF20:EF22)</f>
        <v>0</v>
      </c>
      <c r="EE31" s="130"/>
      <c r="EF31" s="130"/>
      <c r="EG31" s="130"/>
      <c r="EH31" s="130"/>
      <c r="EI31" s="130"/>
      <c r="EJ31" s="130"/>
      <c r="EK31" s="130"/>
      <c r="EL31" s="130"/>
      <c r="EM31" s="68"/>
      <c r="EN31" s="68" t="s">
        <v>5</v>
      </c>
      <c r="EO31" s="129">
        <f>SUM(EQ20:EQ22)</f>
        <v>0</v>
      </c>
      <c r="EP31" s="130"/>
      <c r="EQ31" s="130"/>
      <c r="ER31" s="130"/>
      <c r="ES31" s="130"/>
      <c r="ET31" s="130"/>
      <c r="EU31" s="130"/>
      <c r="EV31" s="130"/>
      <c r="EW31" s="68"/>
      <c r="EX31" s="68" t="s">
        <v>5</v>
      </c>
      <c r="EY31" s="129">
        <f>SUM(FA20:FA22)</f>
        <v>0</v>
      </c>
      <c r="EZ31" s="130"/>
      <c r="FA31" s="130"/>
      <c r="FB31" s="130"/>
      <c r="FC31" s="130"/>
      <c r="FD31" s="130"/>
      <c r="FE31" s="130"/>
    </row>
    <row r="32" spans="1:161" x14ac:dyDescent="0.2">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26" t="s">
        <v>250</v>
      </c>
      <c r="Z32" s="130"/>
      <c r="AA32" s="130"/>
      <c r="AB32" s="130"/>
      <c r="AC32" s="130"/>
      <c r="AD32" s="130"/>
      <c r="AE32" s="130"/>
      <c r="AF32" s="130"/>
      <c r="AG32" s="130" t="s">
        <v>148</v>
      </c>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29" t="s">
        <v>242</v>
      </c>
      <c r="BU32" s="129" t="s">
        <v>174</v>
      </c>
      <c r="BV32" s="68">
        <f>COUNTIF(Outcomes!U:Y,'Quant analysis'!BU32)</f>
        <v>0</v>
      </c>
      <c r="BW32" s="19">
        <f>COUNTIFS(Outcomes!$U:$U,'Quant analysis'!$BU32,Outcomes!$Q:$Q,BW$1)+COUNTIFS(Outcomes!$V:$V,'Quant analysis'!$BU32,Outcomes!$Q:$Q,BW$1)+COUNTIFS(Outcomes!$W:$W,'Quant analysis'!$BU32,Outcomes!$Q:$Q,BW$1)+COUNTIFS(Outcomes!$X:$X,'Quant analysis'!$BU32,Outcomes!$Q:$Q,BW$1)+COUNTIFS(Outcomes!$Y:$Y,'Quant analysis'!$BU32,Outcomes!$Q:$Q,BW$1)</f>
        <v>0</v>
      </c>
      <c r="BX32" s="19">
        <f>COUNTIFS(Outcomes!$U:$U,'Quant analysis'!$BU32,Outcomes!$Q:$Q,BX$1)+COUNTIFS(Outcomes!$V:$V,'Quant analysis'!$BU32,Outcomes!$Q:$Q,BX$1)+COUNTIFS(Outcomes!$W:$W,'Quant analysis'!$BU32,Outcomes!$Q:$Q,BX$1)+COUNTIFS(Outcomes!$X:$X,'Quant analysis'!$BU32,Outcomes!$Q:$Q,BX$1)+COUNTIFS(Outcomes!$Y:$Y,'Quant analysis'!$BU32,Outcomes!$Q:$Q,BX$1)</f>
        <v>0</v>
      </c>
      <c r="BY32" s="19">
        <f>COUNTIFS(Outcomes!$U:$U,'Quant analysis'!$BU32,Outcomes!$Q:$Q,BY$1)+COUNTIFS(Outcomes!$V:$V,'Quant analysis'!$BU32,Outcomes!$Q:$Q,BY$1)+COUNTIFS(Outcomes!$W:$W,'Quant analysis'!$BU32,Outcomes!$Q:$Q,BY$1)+COUNTIFS(Outcomes!$X:$X,'Quant analysis'!$BU32,Outcomes!$Q:$Q,BY$1)+COUNTIFS(Outcomes!$Y:$Y,'Quant analysis'!$BU32,Outcomes!$Q:$Q,BY$1)</f>
        <v>0</v>
      </c>
      <c r="BZ32" s="19">
        <f>COUNTIFS(Outcomes!$U:$U,'Quant analysis'!$BU32,Outcomes!$Q:$Q,BZ$1)+COUNTIFS(Outcomes!$V:$V,'Quant analysis'!$BU32,Outcomes!$Q:$Q,BZ$1)+COUNTIFS(Outcomes!$W:$W,'Quant analysis'!$BU32,Outcomes!$Q:$Q,BZ$1)+COUNTIFS(Outcomes!$X:$X,'Quant analysis'!$BU32,Outcomes!$Q:$Q,BZ$1)+COUNTIFS(Outcomes!$Y:$Y,'Quant analysis'!$BU32,Outcomes!$Q:$Q,BZ$1)</f>
        <v>0</v>
      </c>
      <c r="CA32" s="19">
        <f>COUNTIFS(Outcomes!$U:$U,'Quant analysis'!$BU32,Outcomes!$Q:$Q,CA$1)+COUNTIFS(Outcomes!$V:$V,'Quant analysis'!$BU32,Outcomes!$Q:$Q,CA$1)+COUNTIFS(Outcomes!$W:$W,'Quant analysis'!$BU32,Outcomes!$Q:$Q,CA$1)+COUNTIFS(Outcomes!$X:$X,'Quant analysis'!$BU32,Outcomes!$Q:$Q,CA$1)+COUNTIFS(Outcomes!$Y:$Y,'Quant analysis'!$BU32,Outcomes!$Q:$Q,CA$1)</f>
        <v>0</v>
      </c>
      <c r="CB32" s="105">
        <f>COUNTIFS(Outcomes!$U:$U,'Quant analysis'!$BU32,Outcomes!$Q:$Q,CB$1)+COUNTIFS(Outcomes!$V:$V,'Quant analysis'!$BU32,Outcomes!$Q:$Q,CB$1)+COUNTIFS(Outcomes!$W:$W,'Quant analysis'!$BU32,Outcomes!$Q:$Q,CB$1)+COUNTIFS(Outcomes!$X:$X,'Quant analysis'!$BU32,Outcomes!$Q:$Q,CB$1)+COUNTIFS(Outcomes!$Y:$Y,'Quant analysis'!$BU32,Outcomes!$Q:$Q,CB$1)</f>
        <v>0</v>
      </c>
      <c r="CC32" s="105">
        <f>COUNTIFS(Outcomes!$U:$U,'Quant analysis'!$BU32,Outcomes!$Q:$Q,CC$1)+COUNTIFS(Outcomes!$V:$V,'Quant analysis'!$BU32,Outcomes!$Q:$Q,CC$1)+COUNTIFS(Outcomes!$W:$W,'Quant analysis'!$BU32,Outcomes!$Q:$Q,CC$1)+COUNTIFS(Outcomes!$X:$X,'Quant analysis'!$BU32,Outcomes!$Q:$Q,CC$1)+COUNTIFS(Outcomes!$Y:$Y,'Quant analysis'!$BU32,Outcomes!$Q:$Q,CC$1)</f>
        <v>0</v>
      </c>
      <c r="CD32" s="105">
        <f>COUNTIFS(Outcomes!$U:$U,'Quant analysis'!$BU32,Outcomes!$Q:$Q,CD$1)+COUNTIFS(Outcomes!$V:$V,'Quant analysis'!$BU32,Outcomes!$Q:$Q,CD$1)+COUNTIFS(Outcomes!$W:$W,'Quant analysis'!$BU32,Outcomes!$Q:$Q,CD$1)+COUNTIFS(Outcomes!$X:$X,'Quant analysis'!$BU32,Outcomes!$Q:$Q,CD$1)+COUNTIFS(Outcomes!$Y:$Y,'Quant analysis'!$BU32,Outcomes!$Q:$Q,CD$1)</f>
        <v>0</v>
      </c>
      <c r="CE32" s="105">
        <f>COUNTIFS(Outcomes!$U:$U,'Quant analysis'!$BU32,Outcomes!$Q:$Q,CE$1)+COUNTIFS(Outcomes!$V:$V,'Quant analysis'!$BU32,Outcomes!$Q:$Q,CE$1)+COUNTIFS(Outcomes!$W:$W,'Quant analysis'!$BU32,Outcomes!$Q:$Q,CE$1)+COUNTIFS(Outcomes!$X:$X,'Quant analysis'!$BU32,Outcomes!$Q:$Q,CE$1)+COUNTIFS(Outcomes!$Y:$Y,'Quant analysis'!$BU32,Outcomes!$Q:$Q,CE$1)</f>
        <v>0</v>
      </c>
      <c r="CF32" s="129">
        <f t="shared" si="4"/>
        <v>0</v>
      </c>
      <c r="CG32" s="130"/>
      <c r="CH32" s="130"/>
      <c r="CI32" s="130"/>
      <c r="CJ32" s="130"/>
      <c r="CK32" s="130"/>
      <c r="CL32" s="130"/>
      <c r="CM32" s="130"/>
      <c r="CN32" s="130"/>
      <c r="CO32" s="130"/>
      <c r="CP32" s="130"/>
      <c r="CQ32" s="130"/>
      <c r="CR32" s="130"/>
      <c r="CS32" s="130"/>
      <c r="CT32" s="130"/>
      <c r="CU32" s="130"/>
      <c r="CV32" s="131"/>
      <c r="CW32" s="129" t="s">
        <v>12</v>
      </c>
      <c r="CX32" s="129">
        <f>COUNTIFS(Table1[Outcome FY],'Quant analysis'!CX28,Table1[The Six Conditions of Systems Change (WORK IN PROGRESS)],'Quant analysis'!CW32,Table1[Level of influence],"national")</f>
        <v>0</v>
      </c>
      <c r="CY32" s="129">
        <f>COUNTIFS(Table1[Outcome FY],'Quant analysis'!CY28,Table1[The Six Conditions of Systems Change (WORK IN PROGRESS)],'Quant analysis'!CW32,Table1[Level of influence],"national")</f>
        <v>0</v>
      </c>
      <c r="CZ32" s="129">
        <f>COUNTIFS(Table1[Outcome FY],'Quant analysis'!CZ28,Table1[The Six Conditions of Systems Change (WORK IN PROGRESS)],'Quant analysis'!CW32,Table1[Level of influence],"national")</f>
        <v>0</v>
      </c>
      <c r="DA32" s="129">
        <f>COUNTIFS(Table1[Outcome FY],'Quant analysis'!DA28,Table1[The Six Conditions of Systems Change (WORK IN PROGRESS)],'Quant analysis'!CW32,Table1[Level of influence],"national")</f>
        <v>0</v>
      </c>
      <c r="DB32" s="129">
        <f>COUNTIFS(Table1[Outcome FY],'Quant analysis'!DB28,Table1[The Six Conditions of Systems Change (WORK IN PROGRESS)],'Quant analysis'!CW32,Table1[Level of influence],"national")</f>
        <v>0</v>
      </c>
      <c r="DC32" s="129">
        <f>COUNTIFS(Table1[Outcome FY],'Quant analysis'!DC28,Table1[The Six Conditions of Systems Change (WORK IN PROGRESS)],'Quant analysis'!CW32,Table1[Level of influence],"national")</f>
        <v>0</v>
      </c>
      <c r="DD32" s="129">
        <f>COUNTIFS(Table1[Outcome FY],'Quant analysis'!DD28,Table1[The Six Conditions of Systems Change (WORK IN PROGRESS)],'Quant analysis'!CW32,Table1[Level of influence],"national")</f>
        <v>0</v>
      </c>
      <c r="DE32" s="129">
        <f t="shared" si="20"/>
        <v>0</v>
      </c>
      <c r="DF32" s="130"/>
      <c r="DG32" s="130"/>
      <c r="DH32" s="129" t="s">
        <v>242</v>
      </c>
      <c r="DI32" s="129" t="s">
        <v>174</v>
      </c>
      <c r="DJ32" s="68">
        <f t="shared" si="7"/>
        <v>0</v>
      </c>
      <c r="DK32" s="19">
        <f>COUNTIFS(Table1[Level of influence],"subnational",Table1[The Six Conditions of Systems Change (WORK IN PROGRESS)],"Policies",Table1[Output contribution 1],'Quant analysis'!DI32)+COUNTIFS(Table1[Level of influence],"subnational",Table1[The Six Conditions of Systems Change (WORK IN PROGRESS)],"Policies",Table1[Output contribution 2],'Quant analysis'!DI32)+COUNTIFS(Table1[Level of influence],"subnational",Table1[The Six Conditions of Systems Change (WORK IN PROGRESS)],"Policies",Table1[Output contribution 3],'Quant analysis'!DI32)+COUNTIFS(Table1[Level of influence],"subnational",Table1[The Six Conditions of Systems Change (WORK IN PROGRESS)],"Policies",Table1[Output contribution 4],'Quant analysis'!DI32)+COUNTIFS(Table1[Level of influence],"subnational",Table1[The Six Conditions of Systems Change (WORK IN PROGRESS)],"Policies",Table1[Output contribution 5],'Quant analysis'!DI32)+COUNTIFS(Table1[Level of influence],"national",Table1[The Six Conditions of Systems Change (WORK IN PROGRESS)],"Policies",Table1[Output contribution 1],'Quant analysis'!DI32)+COUNTIFS(Table1[Level of influence],"national",Table1[The Six Conditions of Systems Change (WORK IN PROGRESS)],"Policies",Table1[Output contribution 2],'Quant analysis'!DI32)+COUNTIFS(Table1[Level of influence],"national",Table1[The Six Conditions of Systems Change (WORK IN PROGRESS)],"Policies",Table1[Output contribution 3],'Quant analysis'!DI32)+COUNTIFS(Table1[Level of influence],"national",Table1[The Six Conditions of Systems Change (WORK IN PROGRESS)],"Policies",Table1[Output contribution 4],'Quant analysis'!DI32)+COUNTIFS(Table1[Level of influence],"national",Table1[The Six Conditions of Systems Change (WORK IN PROGRESS)],"Policies",Table1[Output contribution 5],'Quant analysis'!DI32)</f>
        <v>0</v>
      </c>
      <c r="DL32" s="19">
        <f>COUNTIFS(Table1[Level of influence],"subnational",Table1[The Six Conditions of Systems Change (WORK IN PROGRESS)],"Practices",Table1[Output contribution 1],'Quant analysis'!$DI32)+COUNTIFS(Table1[Level of influence],"subnational",Table1[The Six Conditions of Systems Change (WORK IN PROGRESS)],"Practices",Table1[Output contribution 2],'Quant analysis'!$DI32)+COUNTIFS(Table1[Level of influence],"subnational",Table1[The Six Conditions of Systems Change (WORK IN PROGRESS)],"Practices",Table1[Output contribution 3],'Quant analysis'!$DI32)+COUNTIFS(Table1[Level of influence],"subnational",Table1[The Six Conditions of Systems Change (WORK IN PROGRESS)],"Practices",Table1[Output contribution 4],'Quant analysis'!$DI32)+COUNTIFS(Table1[Level of influence],"subnational",Table1[The Six Conditions of Systems Change (WORK IN PROGRESS)],"Practices",Table1[Output contribution 5],'Quant analysis'!$DI32)+COUNTIFS(Table1[Level of influence],"national",Table1[The Six Conditions of Systems Change (WORK IN PROGRESS)],"Practices",Table1[Output contribution 1],'Quant analysis'!$DI32)+COUNTIFS(Table1[Level of influence],"national",Table1[The Six Conditions of Systems Change (WORK IN PROGRESS)],"Practices",Table1[Output contribution 2],'Quant analysis'!$DI32)+COUNTIFS(Table1[Level of influence],"national",Table1[The Six Conditions of Systems Change (WORK IN PROGRESS)],"Practices",Table1[Output contribution 3],'Quant analysis'!$DI32)+COUNTIFS(Table1[Level of influence],"national",Table1[The Six Conditions of Systems Change (WORK IN PROGRESS)],"Practices",Table1[Output contribution 4],'Quant analysis'!$DI32)+COUNTIFS(Table1[Level of influence],"national",Table1[The Six Conditions of Systems Change (WORK IN PROGRESS)],"Practices",Table1[Output contribution 5],'Quant analysis'!$DI32)</f>
        <v>0</v>
      </c>
      <c r="DM32" s="19">
        <f>COUNTIFS(Table1[Level of influence],"subnational",Table1[The Six Conditions of Systems Change (WORK IN PROGRESS)],DM$1,Table1[Output contribution 1],'Quant analysis'!$DI32)+COUNTIFS(Table1[Level of influence],"subnational",Table1[The Six Conditions of Systems Change (WORK IN PROGRESS)],DM$1,Table1[Output contribution 2],'Quant analysis'!$DI32)+COUNTIFS(Table1[Level of influence],"subnational",Table1[The Six Conditions of Systems Change (WORK IN PROGRESS)],DM$1,Table1[Output contribution 3],'Quant analysis'!$DI32)+COUNTIFS(Table1[Level of influence],"subnational",Table1[The Six Conditions of Systems Change (WORK IN PROGRESS)],DM$1,Table1[Output contribution 4],'Quant analysis'!$DI32)+COUNTIFS(Table1[Level of influence],"subnational",Table1[The Six Conditions of Systems Change (WORK IN PROGRESS)],DM$1,Table1[Output contribution 5],'Quant analysis'!$DI32)+COUNTIFS(Table1[Level of influence],"national",Table1[The Six Conditions of Systems Change (WORK IN PROGRESS)],DM$1,Table1[Output contribution 1],'Quant analysis'!$DI32)+COUNTIFS(Table1[Level of influence],"national",Table1[The Six Conditions of Systems Change (WORK IN PROGRESS)],DM$1,Table1[Output contribution 2],'Quant analysis'!$DI32)+COUNTIFS(Table1[Level of influence],"national",Table1[The Six Conditions of Systems Change (WORK IN PROGRESS)],DM$1,Table1[Output contribution 3],'Quant analysis'!$DI32)+COUNTIFS(Table1[Level of influence],"national",Table1[The Six Conditions of Systems Change (WORK IN PROGRESS)],DM$1,Table1[Output contribution 4],'Quant analysis'!$DI32)+COUNTIFS(Table1[Level of influence],"national",Table1[The Six Conditions of Systems Change (WORK IN PROGRESS)],DM$1,Table1[Output contribution 5],'Quant analysis'!$DI32)</f>
        <v>0</v>
      </c>
      <c r="DN32" s="19">
        <f>COUNTIFS(Table1[Level of influence],"subnational",Table1[The Six Conditions of Systems Change (WORK IN PROGRESS)],DN$1,Table1[Output contribution 1],'Quant analysis'!$DI32)+COUNTIFS(Table1[Level of influence],"subnational",Table1[The Six Conditions of Systems Change (WORK IN PROGRESS)],DN$1,Table1[Output contribution 2],'Quant analysis'!$DI32)+COUNTIFS(Table1[Level of influence],"subnational",Table1[The Six Conditions of Systems Change (WORK IN PROGRESS)],DN$1,Table1[Output contribution 3],'Quant analysis'!$DI32)+COUNTIFS(Table1[Level of influence],"subnational",Table1[The Six Conditions of Systems Change (WORK IN PROGRESS)],DN$1,Table1[Output contribution 4],'Quant analysis'!$DI32)+COUNTIFS(Table1[Level of influence],"subnational",Table1[The Six Conditions of Systems Change (WORK IN PROGRESS)],DN$1,Table1[Output contribution 5],'Quant analysis'!$DI32)+COUNTIFS(Table1[Level of influence],"national",Table1[The Six Conditions of Systems Change (WORK IN PROGRESS)],DN$1,Table1[Output contribution 1],'Quant analysis'!$DI32)+COUNTIFS(Table1[Level of influence],"national",Table1[The Six Conditions of Systems Change (WORK IN PROGRESS)],DN$1,Table1[Output contribution 2],'Quant analysis'!$DI32)+COUNTIFS(Table1[Level of influence],"national",Table1[The Six Conditions of Systems Change (WORK IN PROGRESS)],DN$1,Table1[Output contribution 3],'Quant analysis'!$DI32)+COUNTIFS(Table1[Level of influence],"national",Table1[The Six Conditions of Systems Change (WORK IN PROGRESS)],DN$1,Table1[Output contribution 4],'Quant analysis'!$DI32)+COUNTIFS(Table1[Level of influence],"national",Table1[The Six Conditions of Systems Change (WORK IN PROGRESS)],DN$1,Table1[Output contribution 5],'Quant analysis'!$DI32)</f>
        <v>0</v>
      </c>
      <c r="DO32" s="19">
        <f>COUNTIFS(Table1[Level of influence],"subnational",Table1[The Six Conditions of Systems Change (WORK IN PROGRESS)],DO$1,Table1[Output contribution 1],'Quant analysis'!$DI32)+COUNTIFS(Table1[Level of influence],"subnational",Table1[The Six Conditions of Systems Change (WORK IN PROGRESS)],DO$1,Table1[Output contribution 2],'Quant analysis'!$DI32)+COUNTIFS(Table1[Level of influence],"subnational",Table1[The Six Conditions of Systems Change (WORK IN PROGRESS)],DO$1,Table1[Output contribution 3],'Quant analysis'!$DI32)+COUNTIFS(Table1[Level of influence],"subnational",Table1[The Six Conditions of Systems Change (WORK IN PROGRESS)],DO$1,Table1[Output contribution 4],'Quant analysis'!$DI32)+COUNTIFS(Table1[Level of influence],"subnational",Table1[The Six Conditions of Systems Change (WORK IN PROGRESS)],DO$1,Table1[Output contribution 5],'Quant analysis'!$DI32)+COUNTIFS(Table1[Level of influence],"national",Table1[The Six Conditions of Systems Change (WORK IN PROGRESS)],DO$1,Table1[Output contribution 1],'Quant analysis'!$DI32)+COUNTIFS(Table1[Level of influence],"national",Table1[The Six Conditions of Systems Change (WORK IN PROGRESS)],DO$1,Table1[Output contribution 2],'Quant analysis'!$DI32)+COUNTIFS(Table1[Level of influence],"national",Table1[The Six Conditions of Systems Change (WORK IN PROGRESS)],DO$1,Table1[Output contribution 3],'Quant analysis'!$DI32)+COUNTIFS(Table1[Level of influence],"national",Table1[The Six Conditions of Systems Change (WORK IN PROGRESS)],DO$1,Table1[Output contribution 4],'Quant analysis'!$DI32)+COUNTIFS(Table1[Level of influence],"national",Table1[The Six Conditions of Systems Change (WORK IN PROGRESS)],DO$1,Table1[Output contribution 5],'Quant analysis'!$DI32)</f>
        <v>0</v>
      </c>
      <c r="DP32" s="19">
        <f>COUNTIFS(Table1[Level of influence],"subnational",Table1[The Six Conditions of Systems Change (WORK IN PROGRESS)],DP$1,Table1[Output contribution 1],'Quant analysis'!$DI32)+COUNTIFS(Table1[Level of influence],"subnational",Table1[The Six Conditions of Systems Change (WORK IN PROGRESS)],DP$1,Table1[Output contribution 2],'Quant analysis'!$DI32)+COUNTIFS(Table1[Level of influence],"subnational",Table1[The Six Conditions of Systems Change (WORK IN PROGRESS)],DP$1,Table1[Output contribution 3],'Quant analysis'!$DI32)+COUNTIFS(Table1[Level of influence],"subnational",Table1[The Six Conditions of Systems Change (WORK IN PROGRESS)],DP$1,Table1[Output contribution 4],'Quant analysis'!$DI32)+COUNTIFS(Table1[Level of influence],"subnational",Table1[The Six Conditions of Systems Change (WORK IN PROGRESS)],DP$1,Table1[Output contribution 5],'Quant analysis'!$DI32)+COUNTIFS(Table1[Level of influence],"national",Table1[The Six Conditions of Systems Change (WORK IN PROGRESS)],DP$1,Table1[Output contribution 1],'Quant analysis'!$DI32)+COUNTIFS(Table1[Level of influence],"national",Table1[The Six Conditions of Systems Change (WORK IN PROGRESS)],DP$1,Table1[Output contribution 2],'Quant analysis'!$DI32)+COUNTIFS(Table1[Level of influence],"national",Table1[The Six Conditions of Systems Change (WORK IN PROGRESS)],DP$1,Table1[Output contribution 3],'Quant analysis'!$DI32)+COUNTIFS(Table1[Level of influence],"national",Table1[The Six Conditions of Systems Change (WORK IN PROGRESS)],DP$1,Table1[Output contribution 4],'Quant analysis'!$DI32)+COUNTIFS(Table1[Level of influence],"national",Table1[The Six Conditions of Systems Change (WORK IN PROGRESS)],DP$1,Table1[Output contribution 5],'Quant analysis'!$DI32)</f>
        <v>0</v>
      </c>
      <c r="DQ32" s="130"/>
      <c r="DR32" s="130"/>
      <c r="DS32" s="157" t="s">
        <v>292</v>
      </c>
      <c r="DT32" s="129">
        <f>COUNTIFS(Table1[The Six Conditions of Systems Change (WORK IN PROGRESS)],'Quant analysis'!DT$1,Table1[Level of influence],"subnational",Table1['# of quarters between first contribution statement ],'Quant analysis'!$DS32)+COUNTIFS(Table1[The Six Conditions of Systems Change (WORK IN PROGRESS)],'Quant analysis'!DT$1,Table1[Level of influence],"national",Table1['# of quarters between first contribution statement ],'Quant analysis'!$DS32)</f>
        <v>0</v>
      </c>
      <c r="DU32" s="129">
        <f>COUNTIFS(Table1[The Six Conditions of Systems Change (WORK IN PROGRESS)],'Quant analysis'!DU$1,Table1[Level of influence],"subnational",Table1['# of quarters between first contribution statement ],'Quant analysis'!$DS32)+COUNTIFS(Table1[The Six Conditions of Systems Change (WORK IN PROGRESS)],'Quant analysis'!DU$1,Table1[Level of influence],"national",Table1['# of quarters between first contribution statement ],'Quant analysis'!$DS32)</f>
        <v>0</v>
      </c>
      <c r="DV32" s="129">
        <f>COUNTIFS(Table1[The Six Conditions of Systems Change (WORK IN PROGRESS)],'Quant analysis'!DV$1,Table1[Level of influence],"subnational",Table1['# of quarters between first contribution statement ],'Quant analysis'!$DS32)+COUNTIFS(Table1[The Six Conditions of Systems Change (WORK IN PROGRESS)],'Quant analysis'!DV$1,Table1[Level of influence],"national",Table1['# of quarters between first contribution statement ],'Quant analysis'!$DS32)</f>
        <v>0</v>
      </c>
      <c r="DW32" s="129">
        <f>COUNTIFS(Table1[The Six Conditions of Systems Change (WORK IN PROGRESS)],'Quant analysis'!DW$1,Table1[Level of influence],"subnational",Table1['# of quarters between first contribution statement ],'Quant analysis'!$DS32)+COUNTIFS(Table1[The Six Conditions of Systems Change (WORK IN PROGRESS)],'Quant analysis'!DW$1,Table1[Level of influence],"national",Table1['# of quarters between first contribution statement ],'Quant analysis'!$DS32)</f>
        <v>0</v>
      </c>
      <c r="DX32" s="129">
        <f>COUNTIFS(Table1[The Six Conditions of Systems Change (WORK IN PROGRESS)],'Quant analysis'!DX$1,Table1[Level of influence],"subnational",Table1['# of quarters between first contribution statement ],'Quant analysis'!$DS32)+COUNTIFS(Table1[The Six Conditions of Systems Change (WORK IN PROGRESS)],'Quant analysis'!DX$1,Table1[Level of influence],"national",Table1['# of quarters between first contribution statement ],'Quant analysis'!$DS32)</f>
        <v>0</v>
      </c>
      <c r="DY32" s="129">
        <f>COUNTIFS(Table1[The Six Conditions of Systems Change (WORK IN PROGRESS)],'Quant analysis'!DY$1,Table1[Level of influence],"subnational",Table1['# of quarters between first contribution statement ],'Quant analysis'!$DS32)+COUNTIFS(Table1[The Six Conditions of Systems Change (WORK IN PROGRESS)],'Quant analysis'!DY$1,Table1[Level of influence],"national",Table1['# of quarters between first contribution statement ],'Quant analysis'!$DS32)</f>
        <v>0</v>
      </c>
      <c r="DZ32" s="129"/>
      <c r="EA32" s="130"/>
      <c r="EB32" s="68"/>
      <c r="EC32" s="68" t="s">
        <v>6</v>
      </c>
      <c r="ED32" s="129">
        <f>SUM(EG20:EG22)</f>
        <v>0</v>
      </c>
      <c r="EE32" s="130"/>
      <c r="EF32" s="130"/>
      <c r="EG32" s="130"/>
      <c r="EH32" s="130"/>
      <c r="EI32" s="130"/>
      <c r="EJ32" s="130"/>
      <c r="EK32" s="130"/>
      <c r="EL32" s="130"/>
      <c r="EM32" s="68"/>
      <c r="EN32" s="68" t="s">
        <v>6</v>
      </c>
      <c r="EO32" s="129">
        <f>SUM(ER20:ER22)</f>
        <v>0</v>
      </c>
      <c r="EP32" s="130"/>
      <c r="EQ32" s="130"/>
      <c r="ER32" s="130"/>
      <c r="ES32" s="130"/>
      <c r="ET32" s="130"/>
      <c r="EU32" s="130"/>
      <c r="EV32" s="130"/>
      <c r="EW32" s="68"/>
      <c r="EX32" s="68" t="s">
        <v>6</v>
      </c>
      <c r="EY32" s="129">
        <f>SUM(FB20:FB22)</f>
        <v>0</v>
      </c>
      <c r="EZ32" s="130"/>
      <c r="FA32" s="130"/>
      <c r="FB32" s="130"/>
      <c r="FC32" s="130"/>
      <c r="FD32" s="130"/>
      <c r="FE32" s="130"/>
    </row>
    <row r="33" spans="33:161" x14ac:dyDescent="0.2">
      <c r="AG33" s="17" t="s">
        <v>178</v>
      </c>
      <c r="BT33" s="129" t="s">
        <v>263</v>
      </c>
      <c r="BU33" s="129" t="s">
        <v>293</v>
      </c>
      <c r="BV33" s="68">
        <f>COUNTIF(Outcomes!U:Y,'Quant analysis'!BU33)</f>
        <v>0</v>
      </c>
      <c r="BW33" s="19">
        <f>COUNTIFS(Outcomes!$U:$U,'Quant analysis'!$BU33,Outcomes!$Q:$Q,BW$1)+COUNTIFS(Outcomes!$V:$V,'Quant analysis'!$BU33,Outcomes!$Q:$Q,BW$1)+COUNTIFS(Outcomes!$W:$W,'Quant analysis'!$BU33,Outcomes!$Q:$Q,BW$1)+COUNTIFS(Outcomes!$X:$X,'Quant analysis'!$BU33,Outcomes!$Q:$Q,BW$1)+COUNTIFS(Outcomes!$Y:$Y,'Quant analysis'!$BU33,Outcomes!$Q:$Q,BW$1)</f>
        <v>0</v>
      </c>
      <c r="BX33" s="19">
        <f>COUNTIFS(Outcomes!$U:$U,'Quant analysis'!$BU33,Outcomes!$Q:$Q,BX$1)+COUNTIFS(Outcomes!$V:$V,'Quant analysis'!$BU33,Outcomes!$Q:$Q,BX$1)+COUNTIFS(Outcomes!$W:$W,'Quant analysis'!$BU33,Outcomes!$Q:$Q,BX$1)+COUNTIFS(Outcomes!$X:$X,'Quant analysis'!$BU33,Outcomes!$Q:$Q,BX$1)+COUNTIFS(Outcomes!$Y:$Y,'Quant analysis'!$BU33,Outcomes!$Q:$Q,BX$1)</f>
        <v>0</v>
      </c>
      <c r="BY33" s="19">
        <f>COUNTIFS(Outcomes!$U:$U,'Quant analysis'!$BU33,Outcomes!$Q:$Q,BY$1)+COUNTIFS(Outcomes!$V:$V,'Quant analysis'!$BU33,Outcomes!$Q:$Q,BY$1)+COUNTIFS(Outcomes!$W:$W,'Quant analysis'!$BU33,Outcomes!$Q:$Q,BY$1)+COUNTIFS(Outcomes!$X:$X,'Quant analysis'!$BU33,Outcomes!$Q:$Q,BY$1)+COUNTIFS(Outcomes!$Y:$Y,'Quant analysis'!$BU33,Outcomes!$Q:$Q,BY$1)</f>
        <v>0</v>
      </c>
      <c r="BZ33" s="19">
        <f>COUNTIFS(Outcomes!$U:$U,'Quant analysis'!$BU33,Outcomes!$Q:$Q,BZ$1)+COUNTIFS(Outcomes!$V:$V,'Quant analysis'!$BU33,Outcomes!$Q:$Q,BZ$1)+COUNTIFS(Outcomes!$W:$W,'Quant analysis'!$BU33,Outcomes!$Q:$Q,BZ$1)+COUNTIFS(Outcomes!$X:$X,'Quant analysis'!$BU33,Outcomes!$Q:$Q,BZ$1)+COUNTIFS(Outcomes!$Y:$Y,'Quant analysis'!$BU33,Outcomes!$Q:$Q,BZ$1)</f>
        <v>0</v>
      </c>
      <c r="CA33" s="19">
        <f>COUNTIFS(Outcomes!$U:$U,'Quant analysis'!$BU33,Outcomes!$Q:$Q,CA$1)+COUNTIFS(Outcomes!$V:$V,'Quant analysis'!$BU33,Outcomes!$Q:$Q,CA$1)+COUNTIFS(Outcomes!$W:$W,'Quant analysis'!$BU33,Outcomes!$Q:$Q,CA$1)+COUNTIFS(Outcomes!$X:$X,'Quant analysis'!$BU33,Outcomes!$Q:$Q,CA$1)+COUNTIFS(Outcomes!$Y:$Y,'Quant analysis'!$BU33,Outcomes!$Q:$Q,CA$1)</f>
        <v>0</v>
      </c>
      <c r="CB33" s="105">
        <f>COUNTIFS(Outcomes!$U:$U,'Quant analysis'!$BU33,Outcomes!$Q:$Q,CB$1)+COUNTIFS(Outcomes!$V:$V,'Quant analysis'!$BU33,Outcomes!$Q:$Q,CB$1)+COUNTIFS(Outcomes!$W:$W,'Quant analysis'!$BU33,Outcomes!$Q:$Q,CB$1)+COUNTIFS(Outcomes!$X:$X,'Quant analysis'!$BU33,Outcomes!$Q:$Q,CB$1)+COUNTIFS(Outcomes!$Y:$Y,'Quant analysis'!$BU33,Outcomes!$Q:$Q,CB$1)</f>
        <v>0</v>
      </c>
      <c r="CC33" s="105">
        <f>COUNTIFS(Outcomes!$U:$U,'Quant analysis'!$BU33,Outcomes!$Q:$Q,CC$1)+COUNTIFS(Outcomes!$V:$V,'Quant analysis'!$BU33,Outcomes!$Q:$Q,CC$1)+COUNTIFS(Outcomes!$W:$W,'Quant analysis'!$BU33,Outcomes!$Q:$Q,CC$1)+COUNTIFS(Outcomes!$X:$X,'Quant analysis'!$BU33,Outcomes!$Q:$Q,CC$1)+COUNTIFS(Outcomes!$Y:$Y,'Quant analysis'!$BU33,Outcomes!$Q:$Q,CC$1)</f>
        <v>0</v>
      </c>
      <c r="CD33" s="105">
        <f>COUNTIFS(Outcomes!$U:$U,'Quant analysis'!$BU33,Outcomes!$Q:$Q,CD$1)+COUNTIFS(Outcomes!$V:$V,'Quant analysis'!$BU33,Outcomes!$Q:$Q,CD$1)+COUNTIFS(Outcomes!$W:$W,'Quant analysis'!$BU33,Outcomes!$Q:$Q,CD$1)+COUNTIFS(Outcomes!$X:$X,'Quant analysis'!$BU33,Outcomes!$Q:$Q,CD$1)+COUNTIFS(Outcomes!$Y:$Y,'Quant analysis'!$BU33,Outcomes!$Q:$Q,CD$1)</f>
        <v>0</v>
      </c>
      <c r="CE33" s="105">
        <f>COUNTIFS(Outcomes!$U:$U,'Quant analysis'!$BU33,Outcomes!$Q:$Q,CE$1)+COUNTIFS(Outcomes!$V:$V,'Quant analysis'!$BU33,Outcomes!$Q:$Q,CE$1)+COUNTIFS(Outcomes!$W:$W,'Quant analysis'!$BU33,Outcomes!$Q:$Q,CE$1)+COUNTIFS(Outcomes!$X:$X,'Quant analysis'!$BU33,Outcomes!$Q:$Q,CE$1)+COUNTIFS(Outcomes!$Y:$Y,'Quant analysis'!$BU33,Outcomes!$Q:$Q,CE$1)</f>
        <v>0</v>
      </c>
      <c r="CF33" s="129">
        <f t="shared" si="4"/>
        <v>0</v>
      </c>
      <c r="CG33" s="130"/>
      <c r="CH33" s="130"/>
      <c r="CI33" s="130"/>
      <c r="CJ33" s="130"/>
      <c r="CK33" s="130"/>
      <c r="CL33" s="130"/>
      <c r="CM33" s="130"/>
      <c r="CN33" s="130"/>
      <c r="CO33" s="130"/>
      <c r="CP33" s="130"/>
      <c r="CQ33" s="130"/>
      <c r="CR33" s="130"/>
      <c r="CS33" s="130"/>
      <c r="CT33" s="130"/>
      <c r="CU33" s="130"/>
      <c r="CV33" s="131"/>
      <c r="CW33" s="129" t="s">
        <v>10</v>
      </c>
      <c r="CX33" s="129">
        <f>COUNTIFS(Table1[Outcome FY],'Quant analysis'!CX28,Table1[The Six Conditions of Systems Change (WORK IN PROGRESS)],'Quant analysis'!CW33,Table1[Level of influence],"national")</f>
        <v>0</v>
      </c>
      <c r="CY33" s="129">
        <f>COUNTIFS(Table1[Outcome FY],'Quant analysis'!CY28,Table1[The Six Conditions of Systems Change (WORK IN PROGRESS)],'Quant analysis'!CW33,Table1[Level of influence],"national")</f>
        <v>0</v>
      </c>
      <c r="CZ33" s="129">
        <f>COUNTIFS(Table1[Outcome FY],'Quant analysis'!CZ28,Table1[The Six Conditions of Systems Change (WORK IN PROGRESS)],'Quant analysis'!CW33,Table1[Level of influence],"national")</f>
        <v>0</v>
      </c>
      <c r="DA33" s="129">
        <f>COUNTIFS(Table1[Outcome FY],'Quant analysis'!DA28,Table1[The Six Conditions of Systems Change (WORK IN PROGRESS)],'Quant analysis'!CW33,Table1[Level of influence],"national")</f>
        <v>0</v>
      </c>
      <c r="DB33" s="129">
        <f>COUNTIFS(Table1[Outcome FY],'Quant analysis'!DB28,Table1[The Six Conditions of Systems Change (WORK IN PROGRESS)],'Quant analysis'!CW33,Table1[Level of influence],"national")</f>
        <v>0</v>
      </c>
      <c r="DC33" s="129">
        <f>COUNTIFS(Table1[Outcome FY],'Quant analysis'!DC28,Table1[The Six Conditions of Systems Change (WORK IN PROGRESS)],'Quant analysis'!CW33,Table1[Level of influence],"national")</f>
        <v>0</v>
      </c>
      <c r="DD33" s="129">
        <f>COUNTIFS(Table1[Outcome FY],'Quant analysis'!DD28,Table1[The Six Conditions of Systems Change (WORK IN PROGRESS)],'Quant analysis'!CW33,Table1[Level of influence],"national")</f>
        <v>0</v>
      </c>
      <c r="DE33" s="129">
        <f t="shared" si="20"/>
        <v>0</v>
      </c>
      <c r="DF33" s="130"/>
      <c r="DG33" s="130"/>
      <c r="DH33" s="129" t="s">
        <v>263</v>
      </c>
      <c r="DI33" s="129" t="s">
        <v>293</v>
      </c>
      <c r="DJ33" s="68">
        <f t="shared" si="7"/>
        <v>0</v>
      </c>
      <c r="DK33" s="19">
        <f>COUNTIFS(Table1[Level of influence],"subnational",Table1[The Six Conditions of Systems Change (WORK IN PROGRESS)],"Policies",Table1[Output contribution 1],'Quant analysis'!DI33)+COUNTIFS(Table1[Level of influence],"subnational",Table1[The Six Conditions of Systems Change (WORK IN PROGRESS)],"Policies",Table1[Output contribution 2],'Quant analysis'!DI33)+COUNTIFS(Table1[Level of influence],"subnational",Table1[The Six Conditions of Systems Change (WORK IN PROGRESS)],"Policies",Table1[Output contribution 3],'Quant analysis'!DI33)+COUNTIFS(Table1[Level of influence],"subnational",Table1[The Six Conditions of Systems Change (WORK IN PROGRESS)],"Policies",Table1[Output contribution 4],'Quant analysis'!DI33)+COUNTIFS(Table1[Level of influence],"subnational",Table1[The Six Conditions of Systems Change (WORK IN PROGRESS)],"Policies",Table1[Output contribution 5],'Quant analysis'!DI33)+COUNTIFS(Table1[Level of influence],"national",Table1[The Six Conditions of Systems Change (WORK IN PROGRESS)],"Policies",Table1[Output contribution 1],'Quant analysis'!DI33)+COUNTIFS(Table1[Level of influence],"national",Table1[The Six Conditions of Systems Change (WORK IN PROGRESS)],"Policies",Table1[Output contribution 2],'Quant analysis'!DI33)+COUNTIFS(Table1[Level of influence],"national",Table1[The Six Conditions of Systems Change (WORK IN PROGRESS)],"Policies",Table1[Output contribution 3],'Quant analysis'!DI33)+COUNTIFS(Table1[Level of influence],"national",Table1[The Six Conditions of Systems Change (WORK IN PROGRESS)],"Policies",Table1[Output contribution 4],'Quant analysis'!DI33)+COUNTIFS(Table1[Level of influence],"national",Table1[The Six Conditions of Systems Change (WORK IN PROGRESS)],"Policies",Table1[Output contribution 5],'Quant analysis'!DI33)</f>
        <v>0</v>
      </c>
      <c r="DL33" s="19">
        <f>COUNTIFS(Table1[Level of influence],"subnational",Table1[The Six Conditions of Systems Change (WORK IN PROGRESS)],"Practices",Table1[Output contribution 1],'Quant analysis'!$DI33)+COUNTIFS(Table1[Level of influence],"subnational",Table1[The Six Conditions of Systems Change (WORK IN PROGRESS)],"Practices",Table1[Output contribution 2],'Quant analysis'!$DI33)+COUNTIFS(Table1[Level of influence],"subnational",Table1[The Six Conditions of Systems Change (WORK IN PROGRESS)],"Practices",Table1[Output contribution 3],'Quant analysis'!$DI33)+COUNTIFS(Table1[Level of influence],"subnational",Table1[The Six Conditions of Systems Change (WORK IN PROGRESS)],"Practices",Table1[Output contribution 4],'Quant analysis'!$DI33)+COUNTIFS(Table1[Level of influence],"subnational",Table1[The Six Conditions of Systems Change (WORK IN PROGRESS)],"Practices",Table1[Output contribution 5],'Quant analysis'!$DI33)+COUNTIFS(Table1[Level of influence],"national",Table1[The Six Conditions of Systems Change (WORK IN PROGRESS)],"Practices",Table1[Output contribution 1],'Quant analysis'!$DI33)+COUNTIFS(Table1[Level of influence],"national",Table1[The Six Conditions of Systems Change (WORK IN PROGRESS)],"Practices",Table1[Output contribution 2],'Quant analysis'!$DI33)+COUNTIFS(Table1[Level of influence],"national",Table1[The Six Conditions of Systems Change (WORK IN PROGRESS)],"Practices",Table1[Output contribution 3],'Quant analysis'!$DI33)+COUNTIFS(Table1[Level of influence],"national",Table1[The Six Conditions of Systems Change (WORK IN PROGRESS)],"Practices",Table1[Output contribution 4],'Quant analysis'!$DI33)+COUNTIFS(Table1[Level of influence],"national",Table1[The Six Conditions of Systems Change (WORK IN PROGRESS)],"Practices",Table1[Output contribution 5],'Quant analysis'!$DI33)</f>
        <v>0</v>
      </c>
      <c r="DM33" s="19">
        <f>COUNTIFS(Table1[Level of influence],"subnational",Table1[The Six Conditions of Systems Change (WORK IN PROGRESS)],DM$1,Table1[Output contribution 1],'Quant analysis'!$DI33)+COUNTIFS(Table1[Level of influence],"subnational",Table1[The Six Conditions of Systems Change (WORK IN PROGRESS)],DM$1,Table1[Output contribution 2],'Quant analysis'!$DI33)+COUNTIFS(Table1[Level of influence],"subnational",Table1[The Six Conditions of Systems Change (WORK IN PROGRESS)],DM$1,Table1[Output contribution 3],'Quant analysis'!$DI33)+COUNTIFS(Table1[Level of influence],"subnational",Table1[The Six Conditions of Systems Change (WORK IN PROGRESS)],DM$1,Table1[Output contribution 4],'Quant analysis'!$DI33)+COUNTIFS(Table1[Level of influence],"subnational",Table1[The Six Conditions of Systems Change (WORK IN PROGRESS)],DM$1,Table1[Output contribution 5],'Quant analysis'!$DI33)+COUNTIFS(Table1[Level of influence],"national",Table1[The Six Conditions of Systems Change (WORK IN PROGRESS)],DM$1,Table1[Output contribution 1],'Quant analysis'!$DI33)+COUNTIFS(Table1[Level of influence],"national",Table1[The Six Conditions of Systems Change (WORK IN PROGRESS)],DM$1,Table1[Output contribution 2],'Quant analysis'!$DI33)+COUNTIFS(Table1[Level of influence],"national",Table1[The Six Conditions of Systems Change (WORK IN PROGRESS)],DM$1,Table1[Output contribution 3],'Quant analysis'!$DI33)+COUNTIFS(Table1[Level of influence],"national",Table1[The Six Conditions of Systems Change (WORK IN PROGRESS)],DM$1,Table1[Output contribution 4],'Quant analysis'!$DI33)+COUNTIFS(Table1[Level of influence],"national",Table1[The Six Conditions of Systems Change (WORK IN PROGRESS)],DM$1,Table1[Output contribution 5],'Quant analysis'!$DI33)</f>
        <v>0</v>
      </c>
      <c r="DN33" s="19">
        <f>COUNTIFS(Table1[Level of influence],"subnational",Table1[The Six Conditions of Systems Change (WORK IN PROGRESS)],DN$1,Table1[Output contribution 1],'Quant analysis'!$DI33)+COUNTIFS(Table1[Level of influence],"subnational",Table1[The Six Conditions of Systems Change (WORK IN PROGRESS)],DN$1,Table1[Output contribution 2],'Quant analysis'!$DI33)+COUNTIFS(Table1[Level of influence],"subnational",Table1[The Six Conditions of Systems Change (WORK IN PROGRESS)],DN$1,Table1[Output contribution 3],'Quant analysis'!$DI33)+COUNTIFS(Table1[Level of influence],"subnational",Table1[The Six Conditions of Systems Change (WORK IN PROGRESS)],DN$1,Table1[Output contribution 4],'Quant analysis'!$DI33)+COUNTIFS(Table1[Level of influence],"subnational",Table1[The Six Conditions of Systems Change (WORK IN PROGRESS)],DN$1,Table1[Output contribution 5],'Quant analysis'!$DI33)+COUNTIFS(Table1[Level of influence],"national",Table1[The Six Conditions of Systems Change (WORK IN PROGRESS)],DN$1,Table1[Output contribution 1],'Quant analysis'!$DI33)+COUNTIFS(Table1[Level of influence],"national",Table1[The Six Conditions of Systems Change (WORK IN PROGRESS)],DN$1,Table1[Output contribution 2],'Quant analysis'!$DI33)+COUNTIFS(Table1[Level of influence],"national",Table1[The Six Conditions of Systems Change (WORK IN PROGRESS)],DN$1,Table1[Output contribution 3],'Quant analysis'!$DI33)+COUNTIFS(Table1[Level of influence],"national",Table1[The Six Conditions of Systems Change (WORK IN PROGRESS)],DN$1,Table1[Output contribution 4],'Quant analysis'!$DI33)+COUNTIFS(Table1[Level of influence],"national",Table1[The Six Conditions of Systems Change (WORK IN PROGRESS)],DN$1,Table1[Output contribution 5],'Quant analysis'!$DI33)</f>
        <v>0</v>
      </c>
      <c r="DO33" s="19">
        <f>COUNTIFS(Table1[Level of influence],"subnational",Table1[The Six Conditions of Systems Change (WORK IN PROGRESS)],DO$1,Table1[Output contribution 1],'Quant analysis'!$DI33)+COUNTIFS(Table1[Level of influence],"subnational",Table1[The Six Conditions of Systems Change (WORK IN PROGRESS)],DO$1,Table1[Output contribution 2],'Quant analysis'!$DI33)+COUNTIFS(Table1[Level of influence],"subnational",Table1[The Six Conditions of Systems Change (WORK IN PROGRESS)],DO$1,Table1[Output contribution 3],'Quant analysis'!$DI33)+COUNTIFS(Table1[Level of influence],"subnational",Table1[The Six Conditions of Systems Change (WORK IN PROGRESS)],DO$1,Table1[Output contribution 4],'Quant analysis'!$DI33)+COUNTIFS(Table1[Level of influence],"subnational",Table1[The Six Conditions of Systems Change (WORK IN PROGRESS)],DO$1,Table1[Output contribution 5],'Quant analysis'!$DI33)+COUNTIFS(Table1[Level of influence],"national",Table1[The Six Conditions of Systems Change (WORK IN PROGRESS)],DO$1,Table1[Output contribution 1],'Quant analysis'!$DI33)+COUNTIFS(Table1[Level of influence],"national",Table1[The Six Conditions of Systems Change (WORK IN PROGRESS)],DO$1,Table1[Output contribution 2],'Quant analysis'!$DI33)+COUNTIFS(Table1[Level of influence],"national",Table1[The Six Conditions of Systems Change (WORK IN PROGRESS)],DO$1,Table1[Output contribution 3],'Quant analysis'!$DI33)+COUNTIFS(Table1[Level of influence],"national",Table1[The Six Conditions of Systems Change (WORK IN PROGRESS)],DO$1,Table1[Output contribution 4],'Quant analysis'!$DI33)+COUNTIFS(Table1[Level of influence],"national",Table1[The Six Conditions of Systems Change (WORK IN PROGRESS)],DO$1,Table1[Output contribution 5],'Quant analysis'!$DI33)</f>
        <v>0</v>
      </c>
      <c r="DP33" s="19">
        <f>COUNTIFS(Table1[Level of influence],"subnational",Table1[The Six Conditions of Systems Change (WORK IN PROGRESS)],DP$1,Table1[Output contribution 1],'Quant analysis'!$DI33)+COUNTIFS(Table1[Level of influence],"subnational",Table1[The Six Conditions of Systems Change (WORK IN PROGRESS)],DP$1,Table1[Output contribution 2],'Quant analysis'!$DI33)+COUNTIFS(Table1[Level of influence],"subnational",Table1[The Six Conditions of Systems Change (WORK IN PROGRESS)],DP$1,Table1[Output contribution 3],'Quant analysis'!$DI33)+COUNTIFS(Table1[Level of influence],"subnational",Table1[The Six Conditions of Systems Change (WORK IN PROGRESS)],DP$1,Table1[Output contribution 4],'Quant analysis'!$DI33)+COUNTIFS(Table1[Level of influence],"subnational",Table1[The Six Conditions of Systems Change (WORK IN PROGRESS)],DP$1,Table1[Output contribution 5],'Quant analysis'!$DI33)+COUNTIFS(Table1[Level of influence],"national",Table1[The Six Conditions of Systems Change (WORK IN PROGRESS)],DP$1,Table1[Output contribution 1],'Quant analysis'!$DI33)+COUNTIFS(Table1[Level of influence],"national",Table1[The Six Conditions of Systems Change (WORK IN PROGRESS)],DP$1,Table1[Output contribution 2],'Quant analysis'!$DI33)+COUNTIFS(Table1[Level of influence],"national",Table1[The Six Conditions of Systems Change (WORK IN PROGRESS)],DP$1,Table1[Output contribution 3],'Quant analysis'!$DI33)+COUNTIFS(Table1[Level of influence],"national",Table1[The Six Conditions of Systems Change (WORK IN PROGRESS)],DP$1,Table1[Output contribution 4],'Quant analysis'!$DI33)+COUNTIFS(Table1[Level of influence],"national",Table1[The Six Conditions of Systems Change (WORK IN PROGRESS)],DP$1,Table1[Output contribution 5],'Quant analysis'!$DI33)</f>
        <v>0</v>
      </c>
      <c r="DQ33" s="130"/>
      <c r="DR33" s="130"/>
      <c r="DS33" s="132"/>
      <c r="DT33" s="130"/>
      <c r="DU33" s="130"/>
      <c r="DV33" s="130"/>
      <c r="DW33" s="130"/>
      <c r="DX33" s="130"/>
      <c r="DY33" s="130"/>
      <c r="DZ33" s="130"/>
      <c r="EA33" s="130"/>
      <c r="EB33" s="68"/>
      <c r="EC33" s="68" t="s">
        <v>7</v>
      </c>
      <c r="ED33" s="129">
        <f>SUM(EH20:EH22)</f>
        <v>0</v>
      </c>
      <c r="EE33" s="130"/>
      <c r="EF33" s="130"/>
      <c r="EG33" s="130"/>
      <c r="EH33" s="130"/>
      <c r="EI33" s="130"/>
      <c r="EJ33" s="130"/>
      <c r="EK33" s="130"/>
      <c r="EL33" s="130"/>
      <c r="EM33" s="68"/>
      <c r="EN33" s="68" t="s">
        <v>7</v>
      </c>
      <c r="EO33" s="129">
        <f>SUM(ES20:ES22)</f>
        <v>0</v>
      </c>
      <c r="EP33" s="130"/>
      <c r="EQ33" s="130"/>
      <c r="ER33" s="130"/>
      <c r="ES33" s="130"/>
      <c r="ET33" s="130"/>
      <c r="EU33" s="130"/>
      <c r="EV33" s="130"/>
      <c r="EW33" s="68"/>
      <c r="EX33" s="68" t="s">
        <v>7</v>
      </c>
      <c r="EY33" s="129">
        <f>SUM(FC20:FC22)</f>
        <v>0</v>
      </c>
      <c r="EZ33" s="130"/>
      <c r="FA33" s="130"/>
      <c r="FB33" s="130"/>
      <c r="FC33" s="130"/>
      <c r="FD33" s="130"/>
      <c r="FE33" s="130"/>
    </row>
    <row r="34" spans="33:161" x14ac:dyDescent="0.2">
      <c r="AG34" s="17" t="s">
        <v>91</v>
      </c>
      <c r="BT34" s="129"/>
      <c r="BU34" s="129" t="s">
        <v>192</v>
      </c>
      <c r="BV34" s="68">
        <f>COUNTIF(Outcomes!U:Y,'Quant analysis'!BU34)</f>
        <v>0</v>
      </c>
      <c r="BW34" s="19">
        <f>COUNTIFS(Outcomes!$U:$U,'Quant analysis'!$BU34,Outcomes!$Q:$Q,BW$1)+COUNTIFS(Outcomes!$V:$V,'Quant analysis'!$BU34,Outcomes!$Q:$Q,BW$1)+COUNTIFS(Outcomes!$W:$W,'Quant analysis'!$BU34,Outcomes!$Q:$Q,BW$1)+COUNTIFS(Outcomes!$X:$X,'Quant analysis'!$BU34,Outcomes!$Q:$Q,BW$1)+COUNTIFS(Outcomes!$Y:$Y,'Quant analysis'!$BU34,Outcomes!$Q:$Q,BW$1)</f>
        <v>0</v>
      </c>
      <c r="BX34" s="19">
        <f>COUNTIFS(Outcomes!$U:$U,'Quant analysis'!$BU34,Outcomes!$Q:$Q,BX$1)+COUNTIFS(Outcomes!$V:$V,'Quant analysis'!$BU34,Outcomes!$Q:$Q,BX$1)+COUNTIFS(Outcomes!$W:$W,'Quant analysis'!$BU34,Outcomes!$Q:$Q,BX$1)+COUNTIFS(Outcomes!$X:$X,'Quant analysis'!$BU34,Outcomes!$Q:$Q,BX$1)+COUNTIFS(Outcomes!$Y:$Y,'Quant analysis'!$BU34,Outcomes!$Q:$Q,BX$1)</f>
        <v>0</v>
      </c>
      <c r="BY34" s="19">
        <f>COUNTIFS(Outcomes!$U:$U,'Quant analysis'!$BU34,Outcomes!$Q:$Q,BY$1)+COUNTIFS(Outcomes!$V:$V,'Quant analysis'!$BU34,Outcomes!$Q:$Q,BY$1)+COUNTIFS(Outcomes!$W:$W,'Quant analysis'!$BU34,Outcomes!$Q:$Q,BY$1)+COUNTIFS(Outcomes!$X:$X,'Quant analysis'!$BU34,Outcomes!$Q:$Q,BY$1)+COUNTIFS(Outcomes!$Y:$Y,'Quant analysis'!$BU34,Outcomes!$Q:$Q,BY$1)</f>
        <v>0</v>
      </c>
      <c r="BZ34" s="19">
        <f>COUNTIFS(Outcomes!$U:$U,'Quant analysis'!$BU34,Outcomes!$Q:$Q,BZ$1)+COUNTIFS(Outcomes!$V:$V,'Quant analysis'!$BU34,Outcomes!$Q:$Q,BZ$1)+COUNTIFS(Outcomes!$W:$W,'Quant analysis'!$BU34,Outcomes!$Q:$Q,BZ$1)+COUNTIFS(Outcomes!$X:$X,'Quant analysis'!$BU34,Outcomes!$Q:$Q,BZ$1)+COUNTIFS(Outcomes!$Y:$Y,'Quant analysis'!$BU34,Outcomes!$Q:$Q,BZ$1)</f>
        <v>0</v>
      </c>
      <c r="CA34" s="19">
        <f>COUNTIFS(Outcomes!$U:$U,'Quant analysis'!$BU34,Outcomes!$Q:$Q,CA$1)+COUNTIFS(Outcomes!$V:$V,'Quant analysis'!$BU34,Outcomes!$Q:$Q,CA$1)+COUNTIFS(Outcomes!$W:$W,'Quant analysis'!$BU34,Outcomes!$Q:$Q,CA$1)+COUNTIFS(Outcomes!$X:$X,'Quant analysis'!$BU34,Outcomes!$Q:$Q,CA$1)+COUNTIFS(Outcomes!$Y:$Y,'Quant analysis'!$BU34,Outcomes!$Q:$Q,CA$1)</f>
        <v>0</v>
      </c>
      <c r="CB34" s="105">
        <f>COUNTIFS(Outcomes!$U:$U,'Quant analysis'!$BU34,Outcomes!$Q:$Q,CB$1)+COUNTIFS(Outcomes!$V:$V,'Quant analysis'!$BU34,Outcomes!$Q:$Q,CB$1)+COUNTIFS(Outcomes!$W:$W,'Quant analysis'!$BU34,Outcomes!$Q:$Q,CB$1)+COUNTIFS(Outcomes!$X:$X,'Quant analysis'!$BU34,Outcomes!$Q:$Q,CB$1)+COUNTIFS(Outcomes!$Y:$Y,'Quant analysis'!$BU34,Outcomes!$Q:$Q,CB$1)</f>
        <v>0</v>
      </c>
      <c r="CC34" s="105">
        <f>COUNTIFS(Outcomes!$U:$U,'Quant analysis'!$BU34,Outcomes!$Q:$Q,CC$1)+COUNTIFS(Outcomes!$V:$V,'Quant analysis'!$BU34,Outcomes!$Q:$Q,CC$1)+COUNTIFS(Outcomes!$W:$W,'Quant analysis'!$BU34,Outcomes!$Q:$Q,CC$1)+COUNTIFS(Outcomes!$X:$X,'Quant analysis'!$BU34,Outcomes!$Q:$Q,CC$1)+COUNTIFS(Outcomes!$Y:$Y,'Quant analysis'!$BU34,Outcomes!$Q:$Q,CC$1)</f>
        <v>0</v>
      </c>
      <c r="CD34" s="105">
        <f>COUNTIFS(Outcomes!$U:$U,'Quant analysis'!$BU34,Outcomes!$Q:$Q,CD$1)+COUNTIFS(Outcomes!$V:$V,'Quant analysis'!$BU34,Outcomes!$Q:$Q,CD$1)+COUNTIFS(Outcomes!$W:$W,'Quant analysis'!$BU34,Outcomes!$Q:$Q,CD$1)+COUNTIFS(Outcomes!$X:$X,'Quant analysis'!$BU34,Outcomes!$Q:$Q,CD$1)+COUNTIFS(Outcomes!$Y:$Y,'Quant analysis'!$BU34,Outcomes!$Q:$Q,CD$1)</f>
        <v>0</v>
      </c>
      <c r="CE34" s="105">
        <f>COUNTIFS(Outcomes!$U:$U,'Quant analysis'!$BU34,Outcomes!$Q:$Q,CE$1)+COUNTIFS(Outcomes!$V:$V,'Quant analysis'!$BU34,Outcomes!$Q:$Q,CE$1)+COUNTIFS(Outcomes!$W:$W,'Quant analysis'!$BU34,Outcomes!$Q:$Q,CE$1)+COUNTIFS(Outcomes!$X:$X,'Quant analysis'!$BU34,Outcomes!$Q:$Q,CE$1)+COUNTIFS(Outcomes!$Y:$Y,'Quant analysis'!$BU34,Outcomes!$Q:$Q,CE$1)</f>
        <v>0</v>
      </c>
      <c r="CF34" s="129">
        <f t="shared" si="4"/>
        <v>0</v>
      </c>
      <c r="CG34" s="130"/>
      <c r="CH34" s="130"/>
      <c r="CI34" s="130"/>
      <c r="CJ34" s="130"/>
      <c r="CK34" s="130"/>
      <c r="CL34" s="130"/>
      <c r="CM34" s="130"/>
      <c r="CN34" s="130"/>
      <c r="CO34" s="130"/>
      <c r="CP34" s="130"/>
      <c r="CQ34" s="130"/>
      <c r="CR34" s="130"/>
      <c r="CS34" s="130"/>
      <c r="CT34" s="130"/>
      <c r="CU34" s="130"/>
      <c r="CV34" s="131"/>
      <c r="CW34" s="129" t="s">
        <v>8</v>
      </c>
      <c r="CX34" s="129">
        <f>COUNTIFS(Table1[Outcome FY],'Quant analysis'!CX28,Table1[The Six Conditions of Systems Change (WORK IN PROGRESS)],'Quant analysis'!CW34,Table1[Level of influence],"national")</f>
        <v>0</v>
      </c>
      <c r="CY34" s="129">
        <f>COUNTIFS(Table1[Outcome FY],'Quant analysis'!CY28,Table1[The Six Conditions of Systems Change (WORK IN PROGRESS)],'Quant analysis'!CW34,Table1[Level of influence],"national")</f>
        <v>0</v>
      </c>
      <c r="CZ34" s="129">
        <f>COUNTIFS(Table1[Outcome FY],'Quant analysis'!CZ28,Table1[The Six Conditions of Systems Change (WORK IN PROGRESS)],'Quant analysis'!CW34,Table1[Level of influence],"national")</f>
        <v>0</v>
      </c>
      <c r="DA34" s="129">
        <f>COUNTIFS(Table1[Outcome FY],'Quant analysis'!DA28,Table1[The Six Conditions of Systems Change (WORK IN PROGRESS)],'Quant analysis'!CW34,Table1[Level of influence],"national")</f>
        <v>0</v>
      </c>
      <c r="DB34" s="129">
        <f>COUNTIFS(Table1[Outcome FY],'Quant analysis'!DB28,Table1[The Six Conditions of Systems Change (WORK IN PROGRESS)],'Quant analysis'!CW34,Table1[Level of influence],"national")</f>
        <v>0</v>
      </c>
      <c r="DC34" s="129">
        <f>COUNTIFS(Table1[Outcome FY],'Quant analysis'!DC28,Table1[The Six Conditions of Systems Change (WORK IN PROGRESS)],'Quant analysis'!CW34,Table1[Level of influence],"national")</f>
        <v>0</v>
      </c>
      <c r="DD34" s="129">
        <f>COUNTIFS(Table1[Outcome FY],'Quant analysis'!DD28,Table1[The Six Conditions of Systems Change (WORK IN PROGRESS)],'Quant analysis'!CW34,Table1[Level of influence],"national")</f>
        <v>0</v>
      </c>
      <c r="DE34" s="129">
        <f t="shared" si="20"/>
        <v>0</v>
      </c>
      <c r="DF34" s="130"/>
      <c r="DG34" s="130"/>
      <c r="DH34" s="129"/>
      <c r="DI34" s="129" t="s">
        <v>192</v>
      </c>
      <c r="DJ34" s="68">
        <f t="shared" si="7"/>
        <v>0</v>
      </c>
      <c r="DK34" s="19">
        <f>COUNTIFS(Table1[Level of influence],"subnational",Table1[The Six Conditions of Systems Change (WORK IN PROGRESS)],"Policies",Table1[Output contribution 1],'Quant analysis'!DI34)+COUNTIFS(Table1[Level of influence],"subnational",Table1[The Six Conditions of Systems Change (WORK IN PROGRESS)],"Policies",Table1[Output contribution 2],'Quant analysis'!DI34)+COUNTIFS(Table1[Level of influence],"subnational",Table1[The Six Conditions of Systems Change (WORK IN PROGRESS)],"Policies",Table1[Output contribution 3],'Quant analysis'!DI34)+COUNTIFS(Table1[Level of influence],"subnational",Table1[The Six Conditions of Systems Change (WORK IN PROGRESS)],"Policies",Table1[Output contribution 4],'Quant analysis'!DI34)+COUNTIFS(Table1[Level of influence],"subnational",Table1[The Six Conditions of Systems Change (WORK IN PROGRESS)],"Policies",Table1[Output contribution 5],'Quant analysis'!DI34)+COUNTIFS(Table1[Level of influence],"national",Table1[The Six Conditions of Systems Change (WORK IN PROGRESS)],"Policies",Table1[Output contribution 1],'Quant analysis'!DI34)+COUNTIFS(Table1[Level of influence],"national",Table1[The Six Conditions of Systems Change (WORK IN PROGRESS)],"Policies",Table1[Output contribution 2],'Quant analysis'!DI34)+COUNTIFS(Table1[Level of influence],"national",Table1[The Six Conditions of Systems Change (WORK IN PROGRESS)],"Policies",Table1[Output contribution 3],'Quant analysis'!DI34)+COUNTIFS(Table1[Level of influence],"national",Table1[The Six Conditions of Systems Change (WORK IN PROGRESS)],"Policies",Table1[Output contribution 4],'Quant analysis'!DI34)+COUNTIFS(Table1[Level of influence],"national",Table1[The Six Conditions of Systems Change (WORK IN PROGRESS)],"Policies",Table1[Output contribution 5],'Quant analysis'!DI34)</f>
        <v>0</v>
      </c>
      <c r="DL34" s="19">
        <f>COUNTIFS(Table1[Level of influence],"subnational",Table1[The Six Conditions of Systems Change (WORK IN PROGRESS)],"Practices",Table1[Output contribution 1],'Quant analysis'!$DI34)+COUNTIFS(Table1[Level of influence],"subnational",Table1[The Six Conditions of Systems Change (WORK IN PROGRESS)],"Practices",Table1[Output contribution 2],'Quant analysis'!$DI34)+COUNTIFS(Table1[Level of influence],"subnational",Table1[The Six Conditions of Systems Change (WORK IN PROGRESS)],"Practices",Table1[Output contribution 3],'Quant analysis'!$DI34)+COUNTIFS(Table1[Level of influence],"subnational",Table1[The Six Conditions of Systems Change (WORK IN PROGRESS)],"Practices",Table1[Output contribution 4],'Quant analysis'!$DI34)+COUNTIFS(Table1[Level of influence],"subnational",Table1[The Six Conditions of Systems Change (WORK IN PROGRESS)],"Practices",Table1[Output contribution 5],'Quant analysis'!$DI34)+COUNTIFS(Table1[Level of influence],"national",Table1[The Six Conditions of Systems Change (WORK IN PROGRESS)],"Practices",Table1[Output contribution 1],'Quant analysis'!$DI34)+COUNTIFS(Table1[Level of influence],"national",Table1[The Six Conditions of Systems Change (WORK IN PROGRESS)],"Practices",Table1[Output contribution 2],'Quant analysis'!$DI34)+COUNTIFS(Table1[Level of influence],"national",Table1[The Six Conditions of Systems Change (WORK IN PROGRESS)],"Practices",Table1[Output contribution 3],'Quant analysis'!$DI34)+COUNTIFS(Table1[Level of influence],"national",Table1[The Six Conditions of Systems Change (WORK IN PROGRESS)],"Practices",Table1[Output contribution 4],'Quant analysis'!$DI34)+COUNTIFS(Table1[Level of influence],"national",Table1[The Six Conditions of Systems Change (WORK IN PROGRESS)],"Practices",Table1[Output contribution 5],'Quant analysis'!$DI34)</f>
        <v>0</v>
      </c>
      <c r="DM34" s="19">
        <f>COUNTIFS(Table1[Level of influence],"subnational",Table1[The Six Conditions of Systems Change (WORK IN PROGRESS)],DM$1,Table1[Output contribution 1],'Quant analysis'!$DI34)+COUNTIFS(Table1[Level of influence],"subnational",Table1[The Six Conditions of Systems Change (WORK IN PROGRESS)],DM$1,Table1[Output contribution 2],'Quant analysis'!$DI34)+COUNTIFS(Table1[Level of influence],"subnational",Table1[The Six Conditions of Systems Change (WORK IN PROGRESS)],DM$1,Table1[Output contribution 3],'Quant analysis'!$DI34)+COUNTIFS(Table1[Level of influence],"subnational",Table1[The Six Conditions of Systems Change (WORK IN PROGRESS)],DM$1,Table1[Output contribution 4],'Quant analysis'!$DI34)+COUNTIFS(Table1[Level of influence],"subnational",Table1[The Six Conditions of Systems Change (WORK IN PROGRESS)],DM$1,Table1[Output contribution 5],'Quant analysis'!$DI34)+COUNTIFS(Table1[Level of influence],"national",Table1[The Six Conditions of Systems Change (WORK IN PROGRESS)],DM$1,Table1[Output contribution 1],'Quant analysis'!$DI34)+COUNTIFS(Table1[Level of influence],"national",Table1[The Six Conditions of Systems Change (WORK IN PROGRESS)],DM$1,Table1[Output contribution 2],'Quant analysis'!$DI34)+COUNTIFS(Table1[Level of influence],"national",Table1[The Six Conditions of Systems Change (WORK IN PROGRESS)],DM$1,Table1[Output contribution 3],'Quant analysis'!$DI34)+COUNTIFS(Table1[Level of influence],"national",Table1[The Six Conditions of Systems Change (WORK IN PROGRESS)],DM$1,Table1[Output contribution 4],'Quant analysis'!$DI34)+COUNTIFS(Table1[Level of influence],"national",Table1[The Six Conditions of Systems Change (WORK IN PROGRESS)],DM$1,Table1[Output contribution 5],'Quant analysis'!$DI34)</f>
        <v>0</v>
      </c>
      <c r="DN34" s="19">
        <f>COUNTIFS(Table1[Level of influence],"subnational",Table1[The Six Conditions of Systems Change (WORK IN PROGRESS)],DN$1,Table1[Output contribution 1],'Quant analysis'!$DI34)+COUNTIFS(Table1[Level of influence],"subnational",Table1[The Six Conditions of Systems Change (WORK IN PROGRESS)],DN$1,Table1[Output contribution 2],'Quant analysis'!$DI34)+COUNTIFS(Table1[Level of influence],"subnational",Table1[The Six Conditions of Systems Change (WORK IN PROGRESS)],DN$1,Table1[Output contribution 3],'Quant analysis'!$DI34)+COUNTIFS(Table1[Level of influence],"subnational",Table1[The Six Conditions of Systems Change (WORK IN PROGRESS)],DN$1,Table1[Output contribution 4],'Quant analysis'!$DI34)+COUNTIFS(Table1[Level of influence],"subnational",Table1[The Six Conditions of Systems Change (WORK IN PROGRESS)],DN$1,Table1[Output contribution 5],'Quant analysis'!$DI34)+COUNTIFS(Table1[Level of influence],"national",Table1[The Six Conditions of Systems Change (WORK IN PROGRESS)],DN$1,Table1[Output contribution 1],'Quant analysis'!$DI34)+COUNTIFS(Table1[Level of influence],"national",Table1[The Six Conditions of Systems Change (WORK IN PROGRESS)],DN$1,Table1[Output contribution 2],'Quant analysis'!$DI34)+COUNTIFS(Table1[Level of influence],"national",Table1[The Six Conditions of Systems Change (WORK IN PROGRESS)],DN$1,Table1[Output contribution 3],'Quant analysis'!$DI34)+COUNTIFS(Table1[Level of influence],"national",Table1[The Six Conditions of Systems Change (WORK IN PROGRESS)],DN$1,Table1[Output contribution 4],'Quant analysis'!$DI34)+COUNTIFS(Table1[Level of influence],"national",Table1[The Six Conditions of Systems Change (WORK IN PROGRESS)],DN$1,Table1[Output contribution 5],'Quant analysis'!$DI34)</f>
        <v>0</v>
      </c>
      <c r="DO34" s="19">
        <f>COUNTIFS(Table1[Level of influence],"subnational",Table1[The Six Conditions of Systems Change (WORK IN PROGRESS)],DO$1,Table1[Output contribution 1],'Quant analysis'!$DI34)+COUNTIFS(Table1[Level of influence],"subnational",Table1[The Six Conditions of Systems Change (WORK IN PROGRESS)],DO$1,Table1[Output contribution 2],'Quant analysis'!$DI34)+COUNTIFS(Table1[Level of influence],"subnational",Table1[The Six Conditions of Systems Change (WORK IN PROGRESS)],DO$1,Table1[Output contribution 3],'Quant analysis'!$DI34)+COUNTIFS(Table1[Level of influence],"subnational",Table1[The Six Conditions of Systems Change (WORK IN PROGRESS)],DO$1,Table1[Output contribution 4],'Quant analysis'!$DI34)+COUNTIFS(Table1[Level of influence],"subnational",Table1[The Six Conditions of Systems Change (WORK IN PROGRESS)],DO$1,Table1[Output contribution 5],'Quant analysis'!$DI34)+COUNTIFS(Table1[Level of influence],"national",Table1[The Six Conditions of Systems Change (WORK IN PROGRESS)],DO$1,Table1[Output contribution 1],'Quant analysis'!$DI34)+COUNTIFS(Table1[Level of influence],"national",Table1[The Six Conditions of Systems Change (WORK IN PROGRESS)],DO$1,Table1[Output contribution 2],'Quant analysis'!$DI34)+COUNTIFS(Table1[Level of influence],"national",Table1[The Six Conditions of Systems Change (WORK IN PROGRESS)],DO$1,Table1[Output contribution 3],'Quant analysis'!$DI34)+COUNTIFS(Table1[Level of influence],"national",Table1[The Six Conditions of Systems Change (WORK IN PROGRESS)],DO$1,Table1[Output contribution 4],'Quant analysis'!$DI34)+COUNTIFS(Table1[Level of influence],"national",Table1[The Six Conditions of Systems Change (WORK IN PROGRESS)],DO$1,Table1[Output contribution 5],'Quant analysis'!$DI34)</f>
        <v>0</v>
      </c>
      <c r="DP34" s="19">
        <f>COUNTIFS(Table1[Level of influence],"subnational",Table1[The Six Conditions of Systems Change (WORK IN PROGRESS)],DP$1,Table1[Output contribution 1],'Quant analysis'!$DI34)+COUNTIFS(Table1[Level of influence],"subnational",Table1[The Six Conditions of Systems Change (WORK IN PROGRESS)],DP$1,Table1[Output contribution 2],'Quant analysis'!$DI34)+COUNTIFS(Table1[Level of influence],"subnational",Table1[The Six Conditions of Systems Change (WORK IN PROGRESS)],DP$1,Table1[Output contribution 3],'Quant analysis'!$DI34)+COUNTIFS(Table1[Level of influence],"subnational",Table1[The Six Conditions of Systems Change (WORK IN PROGRESS)],DP$1,Table1[Output contribution 4],'Quant analysis'!$DI34)+COUNTIFS(Table1[Level of influence],"subnational",Table1[The Six Conditions of Systems Change (WORK IN PROGRESS)],DP$1,Table1[Output contribution 5],'Quant analysis'!$DI34)+COUNTIFS(Table1[Level of influence],"national",Table1[The Six Conditions of Systems Change (WORK IN PROGRESS)],DP$1,Table1[Output contribution 1],'Quant analysis'!$DI34)+COUNTIFS(Table1[Level of influence],"national",Table1[The Six Conditions of Systems Change (WORK IN PROGRESS)],DP$1,Table1[Output contribution 2],'Quant analysis'!$DI34)+COUNTIFS(Table1[Level of influence],"national",Table1[The Six Conditions of Systems Change (WORK IN PROGRESS)],DP$1,Table1[Output contribution 3],'Quant analysis'!$DI34)+COUNTIFS(Table1[Level of influence],"national",Table1[The Six Conditions of Systems Change (WORK IN PROGRESS)],DP$1,Table1[Output contribution 4],'Quant analysis'!$DI34)+COUNTIFS(Table1[Level of influence],"national",Table1[The Six Conditions of Systems Change (WORK IN PROGRESS)],DP$1,Table1[Output contribution 5],'Quant analysis'!$DI34)</f>
        <v>0</v>
      </c>
      <c r="DQ34" s="130"/>
      <c r="DR34" s="130"/>
      <c r="DS34" s="157"/>
      <c r="DT34" s="129" t="s">
        <v>9</v>
      </c>
      <c r="DU34" s="129" t="s">
        <v>11</v>
      </c>
      <c r="DV34" s="129" t="s">
        <v>13</v>
      </c>
      <c r="DW34" s="129" t="s">
        <v>12</v>
      </c>
      <c r="DX34" s="129" t="s">
        <v>10</v>
      </c>
      <c r="DY34" s="129" t="s">
        <v>8</v>
      </c>
      <c r="DZ34" s="130"/>
      <c r="EA34" s="130"/>
      <c r="EB34" s="68"/>
      <c r="EC34" s="68" t="s">
        <v>271</v>
      </c>
      <c r="ED34" s="129">
        <f>SUM(EI20:EI22)</f>
        <v>0</v>
      </c>
      <c r="EE34" s="130"/>
      <c r="EF34" s="130"/>
      <c r="EG34" s="130"/>
      <c r="EH34" s="130"/>
      <c r="EI34" s="130"/>
      <c r="EJ34" s="130"/>
      <c r="EK34" s="130"/>
      <c r="EL34" s="130"/>
      <c r="EM34" s="68"/>
      <c r="EN34" s="68" t="s">
        <v>271</v>
      </c>
      <c r="EO34" s="129">
        <f>SUM(ET20:ET22)</f>
        <v>0</v>
      </c>
      <c r="EP34" s="130"/>
      <c r="EQ34" s="130"/>
      <c r="ER34" s="130"/>
      <c r="ES34" s="130"/>
      <c r="ET34" s="130"/>
      <c r="EU34" s="130"/>
      <c r="EV34" s="130"/>
      <c r="EW34" s="68"/>
      <c r="EX34" s="68" t="s">
        <v>271</v>
      </c>
      <c r="EY34" s="129">
        <f>SUM(FD20:FD22)</f>
        <v>0</v>
      </c>
      <c r="EZ34" s="130"/>
      <c r="FA34" s="130"/>
      <c r="FB34" s="130"/>
      <c r="FC34" s="130"/>
      <c r="FD34" s="130"/>
      <c r="FE34" s="130"/>
    </row>
    <row r="35" spans="33:161" x14ac:dyDescent="0.2">
      <c r="AG35" s="17" t="s">
        <v>152</v>
      </c>
      <c r="BT35" s="129"/>
      <c r="BU35" s="129" t="s">
        <v>170</v>
      </c>
      <c r="BV35" s="68">
        <f>COUNTIF(Outcomes!U:Y,'Quant analysis'!BU35)</f>
        <v>0</v>
      </c>
      <c r="BW35" s="19">
        <f>COUNTIFS(Outcomes!$U:$U,'Quant analysis'!$BU35,Outcomes!$Q:$Q,BW$1)+COUNTIFS(Outcomes!$V:$V,'Quant analysis'!$BU35,Outcomes!$Q:$Q,BW$1)+COUNTIFS(Outcomes!$W:$W,'Quant analysis'!$BU35,Outcomes!$Q:$Q,BW$1)+COUNTIFS(Outcomes!$X:$X,'Quant analysis'!$BU35,Outcomes!$Q:$Q,BW$1)+COUNTIFS(Outcomes!$Y:$Y,'Quant analysis'!$BU35,Outcomes!$Q:$Q,BW$1)</f>
        <v>0</v>
      </c>
      <c r="BX35" s="19">
        <f>COUNTIFS(Outcomes!$U:$U,'Quant analysis'!$BU35,Outcomes!$Q:$Q,BX$1)+COUNTIFS(Outcomes!$V:$V,'Quant analysis'!$BU35,Outcomes!$Q:$Q,BX$1)+COUNTIFS(Outcomes!$W:$W,'Quant analysis'!$BU35,Outcomes!$Q:$Q,BX$1)+COUNTIFS(Outcomes!$X:$X,'Quant analysis'!$BU35,Outcomes!$Q:$Q,BX$1)+COUNTIFS(Outcomes!$Y:$Y,'Quant analysis'!$BU35,Outcomes!$Q:$Q,BX$1)</f>
        <v>0</v>
      </c>
      <c r="BY35" s="19">
        <f>COUNTIFS(Outcomes!$U:$U,'Quant analysis'!$BU35,Outcomes!$Q:$Q,BY$1)+COUNTIFS(Outcomes!$V:$V,'Quant analysis'!$BU35,Outcomes!$Q:$Q,BY$1)+COUNTIFS(Outcomes!$W:$W,'Quant analysis'!$BU35,Outcomes!$Q:$Q,BY$1)+COUNTIFS(Outcomes!$X:$X,'Quant analysis'!$BU35,Outcomes!$Q:$Q,BY$1)+COUNTIFS(Outcomes!$Y:$Y,'Quant analysis'!$BU35,Outcomes!$Q:$Q,BY$1)</f>
        <v>0</v>
      </c>
      <c r="BZ35" s="19">
        <f>COUNTIFS(Outcomes!$U:$U,'Quant analysis'!$BU35,Outcomes!$Q:$Q,BZ$1)+COUNTIFS(Outcomes!$V:$V,'Quant analysis'!$BU35,Outcomes!$Q:$Q,BZ$1)+COUNTIFS(Outcomes!$W:$W,'Quant analysis'!$BU35,Outcomes!$Q:$Q,BZ$1)+COUNTIFS(Outcomes!$X:$X,'Quant analysis'!$BU35,Outcomes!$Q:$Q,BZ$1)+COUNTIFS(Outcomes!$Y:$Y,'Quant analysis'!$BU35,Outcomes!$Q:$Q,BZ$1)</f>
        <v>0</v>
      </c>
      <c r="CA35" s="19">
        <f>COUNTIFS(Outcomes!$U:$U,'Quant analysis'!$BU35,Outcomes!$Q:$Q,CA$1)+COUNTIFS(Outcomes!$V:$V,'Quant analysis'!$BU35,Outcomes!$Q:$Q,CA$1)+COUNTIFS(Outcomes!$W:$W,'Quant analysis'!$BU35,Outcomes!$Q:$Q,CA$1)+COUNTIFS(Outcomes!$X:$X,'Quant analysis'!$BU35,Outcomes!$Q:$Q,CA$1)+COUNTIFS(Outcomes!$Y:$Y,'Quant analysis'!$BU35,Outcomes!$Q:$Q,CA$1)</f>
        <v>0</v>
      </c>
      <c r="CB35" s="105">
        <f>COUNTIFS(Outcomes!$U:$U,'Quant analysis'!$BU35,Outcomes!$Q:$Q,CB$1)+COUNTIFS(Outcomes!$V:$V,'Quant analysis'!$BU35,Outcomes!$Q:$Q,CB$1)+COUNTIFS(Outcomes!$W:$W,'Quant analysis'!$BU35,Outcomes!$Q:$Q,CB$1)+COUNTIFS(Outcomes!$X:$X,'Quant analysis'!$BU35,Outcomes!$Q:$Q,CB$1)+COUNTIFS(Outcomes!$Y:$Y,'Quant analysis'!$BU35,Outcomes!$Q:$Q,CB$1)</f>
        <v>0</v>
      </c>
      <c r="CC35" s="105">
        <f>COUNTIFS(Outcomes!$U:$U,'Quant analysis'!$BU35,Outcomes!$Q:$Q,CC$1)+COUNTIFS(Outcomes!$V:$V,'Quant analysis'!$BU35,Outcomes!$Q:$Q,CC$1)+COUNTIFS(Outcomes!$W:$W,'Quant analysis'!$BU35,Outcomes!$Q:$Q,CC$1)+COUNTIFS(Outcomes!$X:$X,'Quant analysis'!$BU35,Outcomes!$Q:$Q,CC$1)+COUNTIFS(Outcomes!$Y:$Y,'Quant analysis'!$BU35,Outcomes!$Q:$Q,CC$1)</f>
        <v>0</v>
      </c>
      <c r="CD35" s="105">
        <f>COUNTIFS(Outcomes!$U:$U,'Quant analysis'!$BU35,Outcomes!$Q:$Q,CD$1)+COUNTIFS(Outcomes!$V:$V,'Quant analysis'!$BU35,Outcomes!$Q:$Q,CD$1)+COUNTIFS(Outcomes!$W:$W,'Quant analysis'!$BU35,Outcomes!$Q:$Q,CD$1)+COUNTIFS(Outcomes!$X:$X,'Quant analysis'!$BU35,Outcomes!$Q:$Q,CD$1)+COUNTIFS(Outcomes!$Y:$Y,'Quant analysis'!$BU35,Outcomes!$Q:$Q,CD$1)</f>
        <v>0</v>
      </c>
      <c r="CE35" s="105">
        <f>COUNTIFS(Outcomes!$U:$U,'Quant analysis'!$BU35,Outcomes!$Q:$Q,CE$1)+COUNTIFS(Outcomes!$V:$V,'Quant analysis'!$BU35,Outcomes!$Q:$Q,CE$1)+COUNTIFS(Outcomes!$W:$W,'Quant analysis'!$BU35,Outcomes!$Q:$Q,CE$1)+COUNTIFS(Outcomes!$X:$X,'Quant analysis'!$BU35,Outcomes!$Q:$Q,CE$1)+COUNTIFS(Outcomes!$Y:$Y,'Quant analysis'!$BU35,Outcomes!$Q:$Q,CE$1)</f>
        <v>0</v>
      </c>
      <c r="CF35" s="129">
        <f t="shared" si="4"/>
        <v>0</v>
      </c>
      <c r="CG35" s="130"/>
      <c r="CH35" s="130"/>
      <c r="CI35" s="130"/>
      <c r="CJ35" s="130"/>
      <c r="CK35" s="130"/>
      <c r="CL35" s="130"/>
      <c r="CM35" s="130"/>
      <c r="CN35" s="130"/>
      <c r="CO35" s="130"/>
      <c r="CP35" s="130"/>
      <c r="CQ35" s="130"/>
      <c r="CR35" s="130"/>
      <c r="CS35" s="130"/>
      <c r="CT35" s="130"/>
      <c r="CU35" s="130"/>
      <c r="CV35" s="131"/>
      <c r="CW35" s="130"/>
      <c r="CX35" s="130"/>
      <c r="CY35" s="130"/>
      <c r="CZ35" s="130"/>
      <c r="DA35" s="130"/>
      <c r="DB35" s="130"/>
      <c r="DC35" s="130"/>
      <c r="DD35" s="130"/>
      <c r="DE35" s="130">
        <f>SUM(DE29:DE34)</f>
        <v>0</v>
      </c>
      <c r="DF35" s="130"/>
      <c r="DG35" s="130"/>
      <c r="DH35" s="129"/>
      <c r="DI35" s="129" t="s">
        <v>170</v>
      </c>
      <c r="DJ35" s="68">
        <f t="shared" si="7"/>
        <v>0</v>
      </c>
      <c r="DK35" s="19">
        <f>COUNTIFS(Table1[Level of influence],"subnational",Table1[The Six Conditions of Systems Change (WORK IN PROGRESS)],"Policies",Table1[Output contribution 1],'Quant analysis'!DI35)+COUNTIFS(Table1[Level of influence],"subnational",Table1[The Six Conditions of Systems Change (WORK IN PROGRESS)],"Policies",Table1[Output contribution 2],'Quant analysis'!DI35)+COUNTIFS(Table1[Level of influence],"subnational",Table1[The Six Conditions of Systems Change (WORK IN PROGRESS)],"Policies",Table1[Output contribution 3],'Quant analysis'!DI35)+COUNTIFS(Table1[Level of influence],"subnational",Table1[The Six Conditions of Systems Change (WORK IN PROGRESS)],"Policies",Table1[Output contribution 4],'Quant analysis'!DI35)+COUNTIFS(Table1[Level of influence],"subnational",Table1[The Six Conditions of Systems Change (WORK IN PROGRESS)],"Policies",Table1[Output contribution 5],'Quant analysis'!DI35)+COUNTIFS(Table1[Level of influence],"national",Table1[The Six Conditions of Systems Change (WORK IN PROGRESS)],"Policies",Table1[Output contribution 1],'Quant analysis'!DI35)+COUNTIFS(Table1[Level of influence],"national",Table1[The Six Conditions of Systems Change (WORK IN PROGRESS)],"Policies",Table1[Output contribution 2],'Quant analysis'!DI35)+COUNTIFS(Table1[Level of influence],"national",Table1[The Six Conditions of Systems Change (WORK IN PROGRESS)],"Policies",Table1[Output contribution 3],'Quant analysis'!DI35)+COUNTIFS(Table1[Level of influence],"national",Table1[The Six Conditions of Systems Change (WORK IN PROGRESS)],"Policies",Table1[Output contribution 4],'Quant analysis'!DI35)+COUNTIFS(Table1[Level of influence],"national",Table1[The Six Conditions of Systems Change (WORK IN PROGRESS)],"Policies",Table1[Output contribution 5],'Quant analysis'!DI35)</f>
        <v>0</v>
      </c>
      <c r="DL35" s="19">
        <f>COUNTIFS(Table1[Level of influence],"subnational",Table1[The Six Conditions of Systems Change (WORK IN PROGRESS)],"Practices",Table1[Output contribution 1],'Quant analysis'!$DI35)+COUNTIFS(Table1[Level of influence],"subnational",Table1[The Six Conditions of Systems Change (WORK IN PROGRESS)],"Practices",Table1[Output contribution 2],'Quant analysis'!$DI35)+COUNTIFS(Table1[Level of influence],"subnational",Table1[The Six Conditions of Systems Change (WORK IN PROGRESS)],"Practices",Table1[Output contribution 3],'Quant analysis'!$DI35)+COUNTIFS(Table1[Level of influence],"subnational",Table1[The Six Conditions of Systems Change (WORK IN PROGRESS)],"Practices",Table1[Output contribution 4],'Quant analysis'!$DI35)+COUNTIFS(Table1[Level of influence],"subnational",Table1[The Six Conditions of Systems Change (WORK IN PROGRESS)],"Practices",Table1[Output contribution 5],'Quant analysis'!$DI35)+COUNTIFS(Table1[Level of influence],"national",Table1[The Six Conditions of Systems Change (WORK IN PROGRESS)],"Practices",Table1[Output contribution 1],'Quant analysis'!$DI35)+COUNTIFS(Table1[Level of influence],"national",Table1[The Six Conditions of Systems Change (WORK IN PROGRESS)],"Practices",Table1[Output contribution 2],'Quant analysis'!$DI35)+COUNTIFS(Table1[Level of influence],"national",Table1[The Six Conditions of Systems Change (WORK IN PROGRESS)],"Practices",Table1[Output contribution 3],'Quant analysis'!$DI35)+COUNTIFS(Table1[Level of influence],"national",Table1[The Six Conditions of Systems Change (WORK IN PROGRESS)],"Practices",Table1[Output contribution 4],'Quant analysis'!$DI35)+COUNTIFS(Table1[Level of influence],"national",Table1[The Six Conditions of Systems Change (WORK IN PROGRESS)],"Practices",Table1[Output contribution 5],'Quant analysis'!$DI35)</f>
        <v>0</v>
      </c>
      <c r="DM35" s="19">
        <f>COUNTIFS(Table1[Level of influence],"subnational",Table1[The Six Conditions of Systems Change (WORK IN PROGRESS)],DM$1,Table1[Output contribution 1],'Quant analysis'!$DI35)+COUNTIFS(Table1[Level of influence],"subnational",Table1[The Six Conditions of Systems Change (WORK IN PROGRESS)],DM$1,Table1[Output contribution 2],'Quant analysis'!$DI35)+COUNTIFS(Table1[Level of influence],"subnational",Table1[The Six Conditions of Systems Change (WORK IN PROGRESS)],DM$1,Table1[Output contribution 3],'Quant analysis'!$DI35)+COUNTIFS(Table1[Level of influence],"subnational",Table1[The Six Conditions of Systems Change (WORK IN PROGRESS)],DM$1,Table1[Output contribution 4],'Quant analysis'!$DI35)+COUNTIFS(Table1[Level of influence],"subnational",Table1[The Six Conditions of Systems Change (WORK IN PROGRESS)],DM$1,Table1[Output contribution 5],'Quant analysis'!$DI35)+COUNTIFS(Table1[Level of influence],"national",Table1[The Six Conditions of Systems Change (WORK IN PROGRESS)],DM$1,Table1[Output contribution 1],'Quant analysis'!$DI35)+COUNTIFS(Table1[Level of influence],"national",Table1[The Six Conditions of Systems Change (WORK IN PROGRESS)],DM$1,Table1[Output contribution 2],'Quant analysis'!$DI35)+COUNTIFS(Table1[Level of influence],"national",Table1[The Six Conditions of Systems Change (WORK IN PROGRESS)],DM$1,Table1[Output contribution 3],'Quant analysis'!$DI35)+COUNTIFS(Table1[Level of influence],"national",Table1[The Six Conditions of Systems Change (WORK IN PROGRESS)],DM$1,Table1[Output contribution 4],'Quant analysis'!$DI35)+COUNTIFS(Table1[Level of influence],"national",Table1[The Six Conditions of Systems Change (WORK IN PROGRESS)],DM$1,Table1[Output contribution 5],'Quant analysis'!$DI35)</f>
        <v>0</v>
      </c>
      <c r="DN35" s="19">
        <f>COUNTIFS(Table1[Level of influence],"subnational",Table1[The Six Conditions of Systems Change (WORK IN PROGRESS)],DN$1,Table1[Output contribution 1],'Quant analysis'!$DI35)+COUNTIFS(Table1[Level of influence],"subnational",Table1[The Six Conditions of Systems Change (WORK IN PROGRESS)],DN$1,Table1[Output contribution 2],'Quant analysis'!$DI35)+COUNTIFS(Table1[Level of influence],"subnational",Table1[The Six Conditions of Systems Change (WORK IN PROGRESS)],DN$1,Table1[Output contribution 3],'Quant analysis'!$DI35)+COUNTIFS(Table1[Level of influence],"subnational",Table1[The Six Conditions of Systems Change (WORK IN PROGRESS)],DN$1,Table1[Output contribution 4],'Quant analysis'!$DI35)+COUNTIFS(Table1[Level of influence],"subnational",Table1[The Six Conditions of Systems Change (WORK IN PROGRESS)],DN$1,Table1[Output contribution 5],'Quant analysis'!$DI35)+COUNTIFS(Table1[Level of influence],"national",Table1[The Six Conditions of Systems Change (WORK IN PROGRESS)],DN$1,Table1[Output contribution 1],'Quant analysis'!$DI35)+COUNTIFS(Table1[Level of influence],"national",Table1[The Six Conditions of Systems Change (WORK IN PROGRESS)],DN$1,Table1[Output contribution 2],'Quant analysis'!$DI35)+COUNTIFS(Table1[Level of influence],"national",Table1[The Six Conditions of Systems Change (WORK IN PROGRESS)],DN$1,Table1[Output contribution 3],'Quant analysis'!$DI35)+COUNTIFS(Table1[Level of influence],"national",Table1[The Six Conditions of Systems Change (WORK IN PROGRESS)],DN$1,Table1[Output contribution 4],'Quant analysis'!$DI35)+COUNTIFS(Table1[Level of influence],"national",Table1[The Six Conditions of Systems Change (WORK IN PROGRESS)],DN$1,Table1[Output contribution 5],'Quant analysis'!$DI35)</f>
        <v>0</v>
      </c>
      <c r="DO35" s="19">
        <f>COUNTIFS(Table1[Level of influence],"subnational",Table1[The Six Conditions of Systems Change (WORK IN PROGRESS)],DO$1,Table1[Output contribution 1],'Quant analysis'!$DI35)+COUNTIFS(Table1[Level of influence],"subnational",Table1[The Six Conditions of Systems Change (WORK IN PROGRESS)],DO$1,Table1[Output contribution 2],'Quant analysis'!$DI35)+COUNTIFS(Table1[Level of influence],"subnational",Table1[The Six Conditions of Systems Change (WORK IN PROGRESS)],DO$1,Table1[Output contribution 3],'Quant analysis'!$DI35)+COUNTIFS(Table1[Level of influence],"subnational",Table1[The Six Conditions of Systems Change (WORK IN PROGRESS)],DO$1,Table1[Output contribution 4],'Quant analysis'!$DI35)+COUNTIFS(Table1[Level of influence],"subnational",Table1[The Six Conditions of Systems Change (WORK IN PROGRESS)],DO$1,Table1[Output contribution 5],'Quant analysis'!$DI35)+COUNTIFS(Table1[Level of influence],"national",Table1[The Six Conditions of Systems Change (WORK IN PROGRESS)],DO$1,Table1[Output contribution 1],'Quant analysis'!$DI35)+COUNTIFS(Table1[Level of influence],"national",Table1[The Six Conditions of Systems Change (WORK IN PROGRESS)],DO$1,Table1[Output contribution 2],'Quant analysis'!$DI35)+COUNTIFS(Table1[Level of influence],"national",Table1[The Six Conditions of Systems Change (WORK IN PROGRESS)],DO$1,Table1[Output contribution 3],'Quant analysis'!$DI35)+COUNTIFS(Table1[Level of influence],"national",Table1[The Six Conditions of Systems Change (WORK IN PROGRESS)],DO$1,Table1[Output contribution 4],'Quant analysis'!$DI35)+COUNTIFS(Table1[Level of influence],"national",Table1[The Six Conditions of Systems Change (WORK IN PROGRESS)],DO$1,Table1[Output contribution 5],'Quant analysis'!$DI35)</f>
        <v>0</v>
      </c>
      <c r="DP35" s="19">
        <f>COUNTIFS(Table1[Level of influence],"subnational",Table1[The Six Conditions of Systems Change (WORK IN PROGRESS)],DP$1,Table1[Output contribution 1],'Quant analysis'!$DI35)+COUNTIFS(Table1[Level of influence],"subnational",Table1[The Six Conditions of Systems Change (WORK IN PROGRESS)],DP$1,Table1[Output contribution 2],'Quant analysis'!$DI35)+COUNTIFS(Table1[Level of influence],"subnational",Table1[The Six Conditions of Systems Change (WORK IN PROGRESS)],DP$1,Table1[Output contribution 3],'Quant analysis'!$DI35)+COUNTIFS(Table1[Level of influence],"subnational",Table1[The Six Conditions of Systems Change (WORK IN PROGRESS)],DP$1,Table1[Output contribution 4],'Quant analysis'!$DI35)+COUNTIFS(Table1[Level of influence],"subnational",Table1[The Six Conditions of Systems Change (WORK IN PROGRESS)],DP$1,Table1[Output contribution 5],'Quant analysis'!$DI35)+COUNTIFS(Table1[Level of influence],"national",Table1[The Six Conditions of Systems Change (WORK IN PROGRESS)],DP$1,Table1[Output contribution 1],'Quant analysis'!$DI35)+COUNTIFS(Table1[Level of influence],"national",Table1[The Six Conditions of Systems Change (WORK IN PROGRESS)],DP$1,Table1[Output contribution 2],'Quant analysis'!$DI35)+COUNTIFS(Table1[Level of influence],"national",Table1[The Six Conditions of Systems Change (WORK IN PROGRESS)],DP$1,Table1[Output contribution 3],'Quant analysis'!$DI35)+COUNTIFS(Table1[Level of influence],"national",Table1[The Six Conditions of Systems Change (WORK IN PROGRESS)],DP$1,Table1[Output contribution 4],'Quant analysis'!$DI35)+COUNTIFS(Table1[Level of influence],"national",Table1[The Six Conditions of Systems Change (WORK IN PROGRESS)],DP$1,Table1[Output contribution 5],'Quant analysis'!$DI35)</f>
        <v>0</v>
      </c>
      <c r="DQ35" s="130"/>
      <c r="DR35" s="130"/>
      <c r="DS35" s="157" t="s">
        <v>294</v>
      </c>
      <c r="DT35" s="129">
        <f>SUM(DT2:DT4)</f>
        <v>0</v>
      </c>
      <c r="DU35" s="129">
        <f t="shared" ref="DU35:DY35" si="21">SUM(DU2:DU4)</f>
        <v>0</v>
      </c>
      <c r="DV35" s="129">
        <f t="shared" si="21"/>
        <v>0</v>
      </c>
      <c r="DW35" s="129">
        <f t="shared" si="21"/>
        <v>0</v>
      </c>
      <c r="DX35" s="129">
        <f t="shared" si="21"/>
        <v>0</v>
      </c>
      <c r="DY35" s="129">
        <f t="shared" si="21"/>
        <v>0</v>
      </c>
      <c r="DZ35" s="130"/>
      <c r="EA35" s="130"/>
      <c r="EB35" s="68" t="s">
        <v>261</v>
      </c>
      <c r="EC35" s="68" t="s">
        <v>2</v>
      </c>
      <c r="ED35" s="129">
        <f>SUM(EC23:EC24)</f>
        <v>0</v>
      </c>
      <c r="EE35" s="130"/>
      <c r="EF35" s="130"/>
      <c r="EG35" s="130"/>
      <c r="EH35" s="130"/>
      <c r="EI35" s="130"/>
      <c r="EJ35" s="130"/>
      <c r="EK35" s="130"/>
      <c r="EL35" s="130"/>
      <c r="EM35" s="68" t="s">
        <v>261</v>
      </c>
      <c r="EN35" s="68" t="s">
        <v>2</v>
      </c>
      <c r="EO35" s="129">
        <f>SUM(EN23:EN24)</f>
        <v>0</v>
      </c>
      <c r="EP35" s="130"/>
      <c r="EQ35" s="130"/>
      <c r="ER35" s="130"/>
      <c r="ES35" s="130"/>
      <c r="ET35" s="130"/>
      <c r="EU35" s="130"/>
      <c r="EV35" s="130"/>
      <c r="EW35" s="68" t="s">
        <v>261</v>
      </c>
      <c r="EX35" s="68" t="s">
        <v>2</v>
      </c>
      <c r="EY35" s="129">
        <f>SUM(EX23:EX24)</f>
        <v>0</v>
      </c>
      <c r="EZ35" s="130"/>
      <c r="FA35" s="130"/>
      <c r="FB35" s="130"/>
      <c r="FC35" s="130"/>
      <c r="FD35" s="130"/>
      <c r="FE35" s="130"/>
    </row>
    <row r="36" spans="33:161" x14ac:dyDescent="0.2">
      <c r="BT36" s="129"/>
      <c r="BU36" s="129" t="s">
        <v>171</v>
      </c>
      <c r="BV36" s="68">
        <f>COUNTIF(Outcomes!U:Y,'Quant analysis'!BU36)</f>
        <v>0</v>
      </c>
      <c r="BW36" s="19">
        <f>COUNTIFS(Outcomes!$U:$U,'Quant analysis'!$BU36,Outcomes!$Q:$Q,BW$1)+COUNTIFS(Outcomes!$V:$V,'Quant analysis'!$BU36,Outcomes!$Q:$Q,BW$1)+COUNTIFS(Outcomes!$W:$W,'Quant analysis'!$BU36,Outcomes!$Q:$Q,BW$1)+COUNTIFS(Outcomes!$X:$X,'Quant analysis'!$BU36,Outcomes!$Q:$Q,BW$1)+COUNTIFS(Outcomes!$Y:$Y,'Quant analysis'!$BU36,Outcomes!$Q:$Q,BW$1)</f>
        <v>0</v>
      </c>
      <c r="BX36" s="19">
        <f>COUNTIFS(Outcomes!$U:$U,'Quant analysis'!$BU36,Outcomes!$Q:$Q,BX$1)+COUNTIFS(Outcomes!$V:$V,'Quant analysis'!$BU36,Outcomes!$Q:$Q,BX$1)+COUNTIFS(Outcomes!$W:$W,'Quant analysis'!$BU36,Outcomes!$Q:$Q,BX$1)+COUNTIFS(Outcomes!$X:$X,'Quant analysis'!$BU36,Outcomes!$Q:$Q,BX$1)+COUNTIFS(Outcomes!$Y:$Y,'Quant analysis'!$BU36,Outcomes!$Q:$Q,BX$1)</f>
        <v>0</v>
      </c>
      <c r="BY36" s="19">
        <f>COUNTIFS(Outcomes!$U:$U,'Quant analysis'!$BU36,Outcomes!$Q:$Q,BY$1)+COUNTIFS(Outcomes!$V:$V,'Quant analysis'!$BU36,Outcomes!$Q:$Q,BY$1)+COUNTIFS(Outcomes!$W:$W,'Quant analysis'!$BU36,Outcomes!$Q:$Q,BY$1)+COUNTIFS(Outcomes!$X:$X,'Quant analysis'!$BU36,Outcomes!$Q:$Q,BY$1)+COUNTIFS(Outcomes!$Y:$Y,'Quant analysis'!$BU36,Outcomes!$Q:$Q,BY$1)</f>
        <v>0</v>
      </c>
      <c r="BZ36" s="19">
        <f>COUNTIFS(Outcomes!$U:$U,'Quant analysis'!$BU36,Outcomes!$Q:$Q,BZ$1)+COUNTIFS(Outcomes!$V:$V,'Quant analysis'!$BU36,Outcomes!$Q:$Q,BZ$1)+COUNTIFS(Outcomes!$W:$W,'Quant analysis'!$BU36,Outcomes!$Q:$Q,BZ$1)+COUNTIFS(Outcomes!$X:$X,'Quant analysis'!$BU36,Outcomes!$Q:$Q,BZ$1)+COUNTIFS(Outcomes!$Y:$Y,'Quant analysis'!$BU36,Outcomes!$Q:$Q,BZ$1)</f>
        <v>0</v>
      </c>
      <c r="CA36" s="19">
        <f>COUNTIFS(Outcomes!$U:$U,'Quant analysis'!$BU36,Outcomes!$Q:$Q,CA$1)+COUNTIFS(Outcomes!$V:$V,'Quant analysis'!$BU36,Outcomes!$Q:$Q,CA$1)+COUNTIFS(Outcomes!$W:$W,'Quant analysis'!$BU36,Outcomes!$Q:$Q,CA$1)+COUNTIFS(Outcomes!$X:$X,'Quant analysis'!$BU36,Outcomes!$Q:$Q,CA$1)+COUNTIFS(Outcomes!$Y:$Y,'Quant analysis'!$BU36,Outcomes!$Q:$Q,CA$1)</f>
        <v>0</v>
      </c>
      <c r="CB36" s="105">
        <f>COUNTIFS(Outcomes!$U:$U,'Quant analysis'!$BU36,Outcomes!$Q:$Q,CB$1)+COUNTIFS(Outcomes!$V:$V,'Quant analysis'!$BU36,Outcomes!$Q:$Q,CB$1)+COUNTIFS(Outcomes!$W:$W,'Quant analysis'!$BU36,Outcomes!$Q:$Q,CB$1)+COUNTIFS(Outcomes!$X:$X,'Quant analysis'!$BU36,Outcomes!$Q:$Q,CB$1)+COUNTIFS(Outcomes!$Y:$Y,'Quant analysis'!$BU36,Outcomes!$Q:$Q,CB$1)</f>
        <v>0</v>
      </c>
      <c r="CC36" s="105">
        <f>COUNTIFS(Outcomes!$U:$U,'Quant analysis'!$BU36,Outcomes!$Q:$Q,CC$1)+COUNTIFS(Outcomes!$V:$V,'Quant analysis'!$BU36,Outcomes!$Q:$Q,CC$1)+COUNTIFS(Outcomes!$W:$W,'Quant analysis'!$BU36,Outcomes!$Q:$Q,CC$1)+COUNTIFS(Outcomes!$X:$X,'Quant analysis'!$BU36,Outcomes!$Q:$Q,CC$1)+COUNTIFS(Outcomes!$Y:$Y,'Quant analysis'!$BU36,Outcomes!$Q:$Q,CC$1)</f>
        <v>0</v>
      </c>
      <c r="CD36" s="105">
        <f>COUNTIFS(Outcomes!$U:$U,'Quant analysis'!$BU36,Outcomes!$Q:$Q,CD$1)+COUNTIFS(Outcomes!$V:$V,'Quant analysis'!$BU36,Outcomes!$Q:$Q,CD$1)+COUNTIFS(Outcomes!$W:$W,'Quant analysis'!$BU36,Outcomes!$Q:$Q,CD$1)+COUNTIFS(Outcomes!$X:$X,'Quant analysis'!$BU36,Outcomes!$Q:$Q,CD$1)+COUNTIFS(Outcomes!$Y:$Y,'Quant analysis'!$BU36,Outcomes!$Q:$Q,CD$1)</f>
        <v>0</v>
      </c>
      <c r="CE36" s="105">
        <f>COUNTIFS(Outcomes!$U:$U,'Quant analysis'!$BU36,Outcomes!$Q:$Q,CE$1)+COUNTIFS(Outcomes!$V:$V,'Quant analysis'!$BU36,Outcomes!$Q:$Q,CE$1)+COUNTIFS(Outcomes!$W:$W,'Quant analysis'!$BU36,Outcomes!$Q:$Q,CE$1)+COUNTIFS(Outcomes!$X:$X,'Quant analysis'!$BU36,Outcomes!$Q:$Q,CE$1)+COUNTIFS(Outcomes!$Y:$Y,'Quant analysis'!$BU36,Outcomes!$Q:$Q,CE$1)</f>
        <v>0</v>
      </c>
      <c r="CF36" s="129">
        <f t="shared" si="4"/>
        <v>0</v>
      </c>
      <c r="CG36" s="130"/>
      <c r="CH36" s="130"/>
      <c r="CI36" s="130"/>
      <c r="CJ36" s="130"/>
      <c r="CK36" s="130"/>
      <c r="CL36" s="130"/>
      <c r="CM36" s="130"/>
      <c r="CN36" s="130"/>
      <c r="CO36" s="130"/>
      <c r="CP36" s="130"/>
      <c r="CQ36" s="130"/>
      <c r="CR36" s="130"/>
      <c r="CS36" s="130"/>
      <c r="CT36" s="130"/>
      <c r="CU36" s="130"/>
      <c r="CV36" s="131"/>
      <c r="CW36" s="69" t="s">
        <v>283</v>
      </c>
      <c r="CX36" s="130"/>
      <c r="CY36" s="130"/>
      <c r="CZ36" s="130"/>
      <c r="DA36" s="130"/>
      <c r="DB36" s="130"/>
      <c r="DC36" s="130"/>
      <c r="DD36" s="130"/>
      <c r="DE36" s="130"/>
      <c r="DF36" s="130"/>
      <c r="DG36" s="130"/>
      <c r="DH36" s="129"/>
      <c r="DI36" s="129" t="s">
        <v>171</v>
      </c>
      <c r="DJ36" s="68">
        <f t="shared" si="7"/>
        <v>0</v>
      </c>
      <c r="DK36" s="19">
        <f>COUNTIFS(Table1[Level of influence],"subnational",Table1[The Six Conditions of Systems Change (WORK IN PROGRESS)],"Policies",Table1[Output contribution 1],'Quant analysis'!DI36)+COUNTIFS(Table1[Level of influence],"subnational",Table1[The Six Conditions of Systems Change (WORK IN PROGRESS)],"Policies",Table1[Output contribution 2],'Quant analysis'!DI36)+COUNTIFS(Table1[Level of influence],"subnational",Table1[The Six Conditions of Systems Change (WORK IN PROGRESS)],"Policies",Table1[Output contribution 3],'Quant analysis'!DI36)+COUNTIFS(Table1[Level of influence],"subnational",Table1[The Six Conditions of Systems Change (WORK IN PROGRESS)],"Policies",Table1[Output contribution 4],'Quant analysis'!DI36)+COUNTIFS(Table1[Level of influence],"subnational",Table1[The Six Conditions of Systems Change (WORK IN PROGRESS)],"Policies",Table1[Output contribution 5],'Quant analysis'!DI36)+COUNTIFS(Table1[Level of influence],"national",Table1[The Six Conditions of Systems Change (WORK IN PROGRESS)],"Policies",Table1[Output contribution 1],'Quant analysis'!DI36)+COUNTIFS(Table1[Level of influence],"national",Table1[The Six Conditions of Systems Change (WORK IN PROGRESS)],"Policies",Table1[Output contribution 2],'Quant analysis'!DI36)+COUNTIFS(Table1[Level of influence],"national",Table1[The Six Conditions of Systems Change (WORK IN PROGRESS)],"Policies",Table1[Output contribution 3],'Quant analysis'!DI36)+COUNTIFS(Table1[Level of influence],"national",Table1[The Six Conditions of Systems Change (WORK IN PROGRESS)],"Policies",Table1[Output contribution 4],'Quant analysis'!DI36)+COUNTIFS(Table1[Level of influence],"national",Table1[The Six Conditions of Systems Change (WORK IN PROGRESS)],"Policies",Table1[Output contribution 5],'Quant analysis'!DI36)</f>
        <v>0</v>
      </c>
      <c r="DL36" s="19">
        <f>COUNTIFS(Table1[Level of influence],"subnational",Table1[The Six Conditions of Systems Change (WORK IN PROGRESS)],"Practices",Table1[Output contribution 1],'Quant analysis'!$DI36)+COUNTIFS(Table1[Level of influence],"subnational",Table1[The Six Conditions of Systems Change (WORK IN PROGRESS)],"Practices",Table1[Output contribution 2],'Quant analysis'!$DI36)+COUNTIFS(Table1[Level of influence],"subnational",Table1[The Six Conditions of Systems Change (WORK IN PROGRESS)],"Practices",Table1[Output contribution 3],'Quant analysis'!$DI36)+COUNTIFS(Table1[Level of influence],"subnational",Table1[The Six Conditions of Systems Change (WORK IN PROGRESS)],"Practices",Table1[Output contribution 4],'Quant analysis'!$DI36)+COUNTIFS(Table1[Level of influence],"subnational",Table1[The Six Conditions of Systems Change (WORK IN PROGRESS)],"Practices",Table1[Output contribution 5],'Quant analysis'!$DI36)+COUNTIFS(Table1[Level of influence],"national",Table1[The Six Conditions of Systems Change (WORK IN PROGRESS)],"Practices",Table1[Output contribution 1],'Quant analysis'!$DI36)+COUNTIFS(Table1[Level of influence],"national",Table1[The Six Conditions of Systems Change (WORK IN PROGRESS)],"Practices",Table1[Output contribution 2],'Quant analysis'!$DI36)+COUNTIFS(Table1[Level of influence],"national",Table1[The Six Conditions of Systems Change (WORK IN PROGRESS)],"Practices",Table1[Output contribution 3],'Quant analysis'!$DI36)+COUNTIFS(Table1[Level of influence],"national",Table1[The Six Conditions of Systems Change (WORK IN PROGRESS)],"Practices",Table1[Output contribution 4],'Quant analysis'!$DI36)+COUNTIFS(Table1[Level of influence],"national",Table1[The Six Conditions of Systems Change (WORK IN PROGRESS)],"Practices",Table1[Output contribution 5],'Quant analysis'!$DI36)</f>
        <v>0</v>
      </c>
      <c r="DM36" s="19">
        <f>COUNTIFS(Table1[Level of influence],"subnational",Table1[The Six Conditions of Systems Change (WORK IN PROGRESS)],DM$1,Table1[Output contribution 1],'Quant analysis'!$DI36)+COUNTIFS(Table1[Level of influence],"subnational",Table1[The Six Conditions of Systems Change (WORK IN PROGRESS)],DM$1,Table1[Output contribution 2],'Quant analysis'!$DI36)+COUNTIFS(Table1[Level of influence],"subnational",Table1[The Six Conditions of Systems Change (WORK IN PROGRESS)],DM$1,Table1[Output contribution 3],'Quant analysis'!$DI36)+COUNTIFS(Table1[Level of influence],"subnational",Table1[The Six Conditions of Systems Change (WORK IN PROGRESS)],DM$1,Table1[Output contribution 4],'Quant analysis'!$DI36)+COUNTIFS(Table1[Level of influence],"subnational",Table1[The Six Conditions of Systems Change (WORK IN PROGRESS)],DM$1,Table1[Output contribution 5],'Quant analysis'!$DI36)+COUNTIFS(Table1[Level of influence],"national",Table1[The Six Conditions of Systems Change (WORK IN PROGRESS)],DM$1,Table1[Output contribution 1],'Quant analysis'!$DI36)+COUNTIFS(Table1[Level of influence],"national",Table1[The Six Conditions of Systems Change (WORK IN PROGRESS)],DM$1,Table1[Output contribution 2],'Quant analysis'!$DI36)+COUNTIFS(Table1[Level of influence],"national",Table1[The Six Conditions of Systems Change (WORK IN PROGRESS)],DM$1,Table1[Output contribution 3],'Quant analysis'!$DI36)+COUNTIFS(Table1[Level of influence],"national",Table1[The Six Conditions of Systems Change (WORK IN PROGRESS)],DM$1,Table1[Output contribution 4],'Quant analysis'!$DI36)+COUNTIFS(Table1[Level of influence],"national",Table1[The Six Conditions of Systems Change (WORK IN PROGRESS)],DM$1,Table1[Output contribution 5],'Quant analysis'!$DI36)</f>
        <v>0</v>
      </c>
      <c r="DN36" s="19">
        <f>COUNTIFS(Table1[Level of influence],"subnational",Table1[The Six Conditions of Systems Change (WORK IN PROGRESS)],DN$1,Table1[Output contribution 1],'Quant analysis'!$DI36)+COUNTIFS(Table1[Level of influence],"subnational",Table1[The Six Conditions of Systems Change (WORK IN PROGRESS)],DN$1,Table1[Output contribution 2],'Quant analysis'!$DI36)+COUNTIFS(Table1[Level of influence],"subnational",Table1[The Six Conditions of Systems Change (WORK IN PROGRESS)],DN$1,Table1[Output contribution 3],'Quant analysis'!$DI36)+COUNTIFS(Table1[Level of influence],"subnational",Table1[The Six Conditions of Systems Change (WORK IN PROGRESS)],DN$1,Table1[Output contribution 4],'Quant analysis'!$DI36)+COUNTIFS(Table1[Level of influence],"subnational",Table1[The Six Conditions of Systems Change (WORK IN PROGRESS)],DN$1,Table1[Output contribution 5],'Quant analysis'!$DI36)+COUNTIFS(Table1[Level of influence],"national",Table1[The Six Conditions of Systems Change (WORK IN PROGRESS)],DN$1,Table1[Output contribution 1],'Quant analysis'!$DI36)+COUNTIFS(Table1[Level of influence],"national",Table1[The Six Conditions of Systems Change (WORK IN PROGRESS)],DN$1,Table1[Output contribution 2],'Quant analysis'!$DI36)+COUNTIFS(Table1[Level of influence],"national",Table1[The Six Conditions of Systems Change (WORK IN PROGRESS)],DN$1,Table1[Output contribution 3],'Quant analysis'!$DI36)+COUNTIFS(Table1[Level of influence],"national",Table1[The Six Conditions of Systems Change (WORK IN PROGRESS)],DN$1,Table1[Output contribution 4],'Quant analysis'!$DI36)+COUNTIFS(Table1[Level of influence],"national",Table1[The Six Conditions of Systems Change (WORK IN PROGRESS)],DN$1,Table1[Output contribution 5],'Quant analysis'!$DI36)</f>
        <v>0</v>
      </c>
      <c r="DO36" s="19">
        <f>COUNTIFS(Table1[Level of influence],"subnational",Table1[The Six Conditions of Systems Change (WORK IN PROGRESS)],DO$1,Table1[Output contribution 1],'Quant analysis'!$DI36)+COUNTIFS(Table1[Level of influence],"subnational",Table1[The Six Conditions of Systems Change (WORK IN PROGRESS)],DO$1,Table1[Output contribution 2],'Quant analysis'!$DI36)+COUNTIFS(Table1[Level of influence],"subnational",Table1[The Six Conditions of Systems Change (WORK IN PROGRESS)],DO$1,Table1[Output contribution 3],'Quant analysis'!$DI36)+COUNTIFS(Table1[Level of influence],"subnational",Table1[The Six Conditions of Systems Change (WORK IN PROGRESS)],DO$1,Table1[Output contribution 4],'Quant analysis'!$DI36)+COUNTIFS(Table1[Level of influence],"subnational",Table1[The Six Conditions of Systems Change (WORK IN PROGRESS)],DO$1,Table1[Output contribution 5],'Quant analysis'!$DI36)+COUNTIFS(Table1[Level of influence],"national",Table1[The Six Conditions of Systems Change (WORK IN PROGRESS)],DO$1,Table1[Output contribution 1],'Quant analysis'!$DI36)+COUNTIFS(Table1[Level of influence],"national",Table1[The Six Conditions of Systems Change (WORK IN PROGRESS)],DO$1,Table1[Output contribution 2],'Quant analysis'!$DI36)+COUNTIFS(Table1[Level of influence],"national",Table1[The Six Conditions of Systems Change (WORK IN PROGRESS)],DO$1,Table1[Output contribution 3],'Quant analysis'!$DI36)+COUNTIFS(Table1[Level of influence],"national",Table1[The Six Conditions of Systems Change (WORK IN PROGRESS)],DO$1,Table1[Output contribution 4],'Quant analysis'!$DI36)+COUNTIFS(Table1[Level of influence],"national",Table1[The Six Conditions of Systems Change (WORK IN PROGRESS)],DO$1,Table1[Output contribution 5],'Quant analysis'!$DI36)</f>
        <v>0</v>
      </c>
      <c r="DP36" s="19">
        <f>COUNTIFS(Table1[Level of influence],"subnational",Table1[The Six Conditions of Systems Change (WORK IN PROGRESS)],DP$1,Table1[Output contribution 1],'Quant analysis'!$DI36)+COUNTIFS(Table1[Level of influence],"subnational",Table1[The Six Conditions of Systems Change (WORK IN PROGRESS)],DP$1,Table1[Output contribution 2],'Quant analysis'!$DI36)+COUNTIFS(Table1[Level of influence],"subnational",Table1[The Six Conditions of Systems Change (WORK IN PROGRESS)],DP$1,Table1[Output contribution 3],'Quant analysis'!$DI36)+COUNTIFS(Table1[Level of influence],"subnational",Table1[The Six Conditions of Systems Change (WORK IN PROGRESS)],DP$1,Table1[Output contribution 4],'Quant analysis'!$DI36)+COUNTIFS(Table1[Level of influence],"subnational",Table1[The Six Conditions of Systems Change (WORK IN PROGRESS)],DP$1,Table1[Output contribution 5],'Quant analysis'!$DI36)+COUNTIFS(Table1[Level of influence],"national",Table1[The Six Conditions of Systems Change (WORK IN PROGRESS)],DP$1,Table1[Output contribution 1],'Quant analysis'!$DI36)+COUNTIFS(Table1[Level of influence],"national",Table1[The Six Conditions of Systems Change (WORK IN PROGRESS)],DP$1,Table1[Output contribution 2],'Quant analysis'!$DI36)+COUNTIFS(Table1[Level of influence],"national",Table1[The Six Conditions of Systems Change (WORK IN PROGRESS)],DP$1,Table1[Output contribution 3],'Quant analysis'!$DI36)+COUNTIFS(Table1[Level of influence],"national",Table1[The Six Conditions of Systems Change (WORK IN PROGRESS)],DP$1,Table1[Output contribution 4],'Quant analysis'!$DI36)+COUNTIFS(Table1[Level of influence],"national",Table1[The Six Conditions of Systems Change (WORK IN PROGRESS)],DP$1,Table1[Output contribution 5],'Quant analysis'!$DI36)</f>
        <v>0</v>
      </c>
      <c r="DQ36" s="130"/>
      <c r="DR36" s="130"/>
      <c r="DS36" s="157" t="s">
        <v>295</v>
      </c>
      <c r="DT36" s="129">
        <f>SUM(DT5:DT6)</f>
        <v>0</v>
      </c>
      <c r="DU36" s="129">
        <f t="shared" ref="DU36:DY36" si="22">SUM(DU5:DU6)</f>
        <v>0</v>
      </c>
      <c r="DV36" s="129">
        <f t="shared" si="22"/>
        <v>0</v>
      </c>
      <c r="DW36" s="129">
        <f t="shared" si="22"/>
        <v>0</v>
      </c>
      <c r="DX36" s="129">
        <f t="shared" si="22"/>
        <v>0</v>
      </c>
      <c r="DY36" s="129">
        <f t="shared" si="22"/>
        <v>0</v>
      </c>
      <c r="DZ36" s="130"/>
      <c r="EA36" s="130"/>
      <c r="EB36" s="68"/>
      <c r="EC36" s="68" t="s">
        <v>3</v>
      </c>
      <c r="ED36" s="129">
        <f>SUM(ED23:ED24)</f>
        <v>0</v>
      </c>
      <c r="EE36" s="130"/>
      <c r="EF36" s="130"/>
      <c r="EG36" s="130"/>
      <c r="EH36" s="130"/>
      <c r="EI36" s="130"/>
      <c r="EJ36" s="130"/>
      <c r="EK36" s="130"/>
      <c r="EL36" s="130"/>
      <c r="EM36" s="68"/>
      <c r="EN36" s="68" t="s">
        <v>3</v>
      </c>
      <c r="EO36" s="129">
        <f>SUM(EO23:EO24)</f>
        <v>0</v>
      </c>
      <c r="EP36" s="130"/>
      <c r="EQ36" s="130"/>
      <c r="ER36" s="130"/>
      <c r="ES36" s="130"/>
      <c r="ET36" s="130"/>
      <c r="EU36" s="130"/>
      <c r="EV36" s="130"/>
      <c r="EW36" s="68"/>
      <c r="EX36" s="68" t="s">
        <v>3</v>
      </c>
      <c r="EY36" s="129">
        <f>SUM(EY23:EY24)</f>
        <v>0</v>
      </c>
      <c r="EZ36" s="130"/>
      <c r="FA36" s="130"/>
      <c r="FB36" s="130"/>
      <c r="FC36" s="130"/>
      <c r="FD36" s="130"/>
      <c r="FE36" s="130"/>
    </row>
    <row r="37" spans="33:161" x14ac:dyDescent="0.2">
      <c r="BT37" s="129"/>
      <c r="BU37" s="129" t="s">
        <v>104</v>
      </c>
      <c r="BV37" s="68">
        <f>COUNTIF(Outcomes!U:Y,'Quant analysis'!BU37)</f>
        <v>0</v>
      </c>
      <c r="BW37" s="19">
        <f>COUNTIFS(Outcomes!$U:$U,'Quant analysis'!$BU37,Outcomes!$Q:$Q,BW$1)+COUNTIFS(Outcomes!$V:$V,'Quant analysis'!$BU37,Outcomes!$Q:$Q,BW$1)+COUNTIFS(Outcomes!$W:$W,'Quant analysis'!$BU37,Outcomes!$Q:$Q,BW$1)+COUNTIFS(Outcomes!$X:$X,'Quant analysis'!$BU37,Outcomes!$Q:$Q,BW$1)+COUNTIFS(Outcomes!$Y:$Y,'Quant analysis'!$BU37,Outcomes!$Q:$Q,BW$1)</f>
        <v>0</v>
      </c>
      <c r="BX37" s="19">
        <f>COUNTIFS(Outcomes!$U:$U,'Quant analysis'!$BU37,Outcomes!$Q:$Q,BX$1)+COUNTIFS(Outcomes!$V:$V,'Quant analysis'!$BU37,Outcomes!$Q:$Q,BX$1)+COUNTIFS(Outcomes!$W:$W,'Quant analysis'!$BU37,Outcomes!$Q:$Q,BX$1)+COUNTIFS(Outcomes!$X:$X,'Quant analysis'!$BU37,Outcomes!$Q:$Q,BX$1)+COUNTIFS(Outcomes!$Y:$Y,'Quant analysis'!$BU37,Outcomes!$Q:$Q,BX$1)</f>
        <v>0</v>
      </c>
      <c r="BY37" s="19">
        <f>COUNTIFS(Outcomes!$U:$U,'Quant analysis'!$BU37,Outcomes!$Q:$Q,BY$1)+COUNTIFS(Outcomes!$V:$V,'Quant analysis'!$BU37,Outcomes!$Q:$Q,BY$1)+COUNTIFS(Outcomes!$W:$W,'Quant analysis'!$BU37,Outcomes!$Q:$Q,BY$1)+COUNTIFS(Outcomes!$X:$X,'Quant analysis'!$BU37,Outcomes!$Q:$Q,BY$1)+COUNTIFS(Outcomes!$Y:$Y,'Quant analysis'!$BU37,Outcomes!$Q:$Q,BY$1)</f>
        <v>0</v>
      </c>
      <c r="BZ37" s="19">
        <f>COUNTIFS(Outcomes!$U:$U,'Quant analysis'!$BU37,Outcomes!$Q:$Q,BZ$1)+COUNTIFS(Outcomes!$V:$V,'Quant analysis'!$BU37,Outcomes!$Q:$Q,BZ$1)+COUNTIFS(Outcomes!$W:$W,'Quant analysis'!$BU37,Outcomes!$Q:$Q,BZ$1)+COUNTIFS(Outcomes!$X:$X,'Quant analysis'!$BU37,Outcomes!$Q:$Q,BZ$1)+COUNTIFS(Outcomes!$Y:$Y,'Quant analysis'!$BU37,Outcomes!$Q:$Q,BZ$1)</f>
        <v>0</v>
      </c>
      <c r="CA37" s="19">
        <f>COUNTIFS(Outcomes!$U:$U,'Quant analysis'!$BU37,Outcomes!$Q:$Q,CA$1)+COUNTIFS(Outcomes!$V:$V,'Quant analysis'!$BU37,Outcomes!$Q:$Q,CA$1)+COUNTIFS(Outcomes!$W:$W,'Quant analysis'!$BU37,Outcomes!$Q:$Q,CA$1)+COUNTIFS(Outcomes!$X:$X,'Quant analysis'!$BU37,Outcomes!$Q:$Q,CA$1)+COUNTIFS(Outcomes!$Y:$Y,'Quant analysis'!$BU37,Outcomes!$Q:$Q,CA$1)</f>
        <v>0</v>
      </c>
      <c r="CB37" s="105">
        <f>COUNTIFS(Outcomes!$U:$U,'Quant analysis'!$BU37,Outcomes!$Q:$Q,CB$1)+COUNTIFS(Outcomes!$V:$V,'Quant analysis'!$BU37,Outcomes!$Q:$Q,CB$1)+COUNTIFS(Outcomes!$W:$W,'Quant analysis'!$BU37,Outcomes!$Q:$Q,CB$1)+COUNTIFS(Outcomes!$X:$X,'Quant analysis'!$BU37,Outcomes!$Q:$Q,CB$1)+COUNTIFS(Outcomes!$Y:$Y,'Quant analysis'!$BU37,Outcomes!$Q:$Q,CB$1)</f>
        <v>0</v>
      </c>
      <c r="CC37" s="105">
        <f>COUNTIFS(Outcomes!$U:$U,'Quant analysis'!$BU37,Outcomes!$Q:$Q,CC$1)+COUNTIFS(Outcomes!$V:$V,'Quant analysis'!$BU37,Outcomes!$Q:$Q,CC$1)+COUNTIFS(Outcomes!$W:$W,'Quant analysis'!$BU37,Outcomes!$Q:$Q,CC$1)+COUNTIFS(Outcomes!$X:$X,'Quant analysis'!$BU37,Outcomes!$Q:$Q,CC$1)+COUNTIFS(Outcomes!$Y:$Y,'Quant analysis'!$BU37,Outcomes!$Q:$Q,CC$1)</f>
        <v>0</v>
      </c>
      <c r="CD37" s="105">
        <f>COUNTIFS(Outcomes!$U:$U,'Quant analysis'!$BU37,Outcomes!$Q:$Q,CD$1)+COUNTIFS(Outcomes!$V:$V,'Quant analysis'!$BU37,Outcomes!$Q:$Q,CD$1)+COUNTIFS(Outcomes!$W:$W,'Quant analysis'!$BU37,Outcomes!$Q:$Q,CD$1)+COUNTIFS(Outcomes!$X:$X,'Quant analysis'!$BU37,Outcomes!$Q:$Q,CD$1)+COUNTIFS(Outcomes!$Y:$Y,'Quant analysis'!$BU37,Outcomes!$Q:$Q,CD$1)</f>
        <v>0</v>
      </c>
      <c r="CE37" s="105">
        <f>COUNTIFS(Outcomes!$U:$U,'Quant analysis'!$BU37,Outcomes!$Q:$Q,CE$1)+COUNTIFS(Outcomes!$V:$V,'Quant analysis'!$BU37,Outcomes!$Q:$Q,CE$1)+COUNTIFS(Outcomes!$W:$W,'Quant analysis'!$BU37,Outcomes!$Q:$Q,CE$1)+COUNTIFS(Outcomes!$X:$X,'Quant analysis'!$BU37,Outcomes!$Q:$Q,CE$1)+COUNTIFS(Outcomes!$Y:$Y,'Quant analysis'!$BU37,Outcomes!$Q:$Q,CE$1)</f>
        <v>0</v>
      </c>
      <c r="CF37" s="129">
        <f t="shared" si="4"/>
        <v>0</v>
      </c>
      <c r="CG37" s="130"/>
      <c r="CH37" s="130"/>
      <c r="CI37" s="130"/>
      <c r="CJ37" s="130"/>
      <c r="CK37" s="130"/>
      <c r="CL37" s="130"/>
      <c r="CM37" s="130"/>
      <c r="CN37" s="130"/>
      <c r="CO37" s="130"/>
      <c r="CP37" s="130"/>
      <c r="CQ37" s="130"/>
      <c r="CR37" s="130"/>
      <c r="CS37" s="130"/>
      <c r="CT37" s="130"/>
      <c r="CU37" s="130"/>
      <c r="CV37" s="131"/>
      <c r="CW37" s="68" t="s">
        <v>259</v>
      </c>
      <c r="CX37" s="68" t="s">
        <v>2</v>
      </c>
      <c r="CY37" s="129">
        <f>SUM(CX20:CX22,CX29:CX31)</f>
        <v>0</v>
      </c>
      <c r="CZ37" s="130"/>
      <c r="DA37" s="130"/>
      <c r="DB37" s="130"/>
      <c r="DC37" s="130"/>
      <c r="DD37" s="130"/>
      <c r="DE37" s="130"/>
      <c r="DF37" s="130"/>
      <c r="DG37" s="130"/>
      <c r="DH37" s="129"/>
      <c r="DI37" s="129" t="s">
        <v>104</v>
      </c>
      <c r="DJ37" s="68">
        <f t="shared" si="7"/>
        <v>0</v>
      </c>
      <c r="DK37" s="19">
        <f>COUNTIFS(Table1[Level of influence],"subnational",Table1[The Six Conditions of Systems Change (WORK IN PROGRESS)],"Policies",Table1[Output contribution 1],'Quant analysis'!DI37)+COUNTIFS(Table1[Level of influence],"subnational",Table1[The Six Conditions of Systems Change (WORK IN PROGRESS)],"Policies",Table1[Output contribution 2],'Quant analysis'!DI37)+COUNTIFS(Table1[Level of influence],"subnational",Table1[The Six Conditions of Systems Change (WORK IN PROGRESS)],"Policies",Table1[Output contribution 3],'Quant analysis'!DI37)+COUNTIFS(Table1[Level of influence],"subnational",Table1[The Six Conditions of Systems Change (WORK IN PROGRESS)],"Policies",Table1[Output contribution 4],'Quant analysis'!DI37)+COUNTIFS(Table1[Level of influence],"subnational",Table1[The Six Conditions of Systems Change (WORK IN PROGRESS)],"Policies",Table1[Output contribution 5],'Quant analysis'!DI37)+COUNTIFS(Table1[Level of influence],"national",Table1[The Six Conditions of Systems Change (WORK IN PROGRESS)],"Policies",Table1[Output contribution 1],'Quant analysis'!DI37)+COUNTIFS(Table1[Level of influence],"national",Table1[The Six Conditions of Systems Change (WORK IN PROGRESS)],"Policies",Table1[Output contribution 2],'Quant analysis'!DI37)+COUNTIFS(Table1[Level of influence],"national",Table1[The Six Conditions of Systems Change (WORK IN PROGRESS)],"Policies",Table1[Output contribution 3],'Quant analysis'!DI37)+COUNTIFS(Table1[Level of influence],"national",Table1[The Six Conditions of Systems Change (WORK IN PROGRESS)],"Policies",Table1[Output contribution 4],'Quant analysis'!DI37)+COUNTIFS(Table1[Level of influence],"national",Table1[The Six Conditions of Systems Change (WORK IN PROGRESS)],"Policies",Table1[Output contribution 5],'Quant analysis'!DI37)</f>
        <v>0</v>
      </c>
      <c r="DL37" s="19">
        <f>COUNTIFS(Table1[Level of influence],"subnational",Table1[The Six Conditions of Systems Change (WORK IN PROGRESS)],"Practices",Table1[Output contribution 1],'Quant analysis'!$DI37)+COUNTIFS(Table1[Level of influence],"subnational",Table1[The Six Conditions of Systems Change (WORK IN PROGRESS)],"Practices",Table1[Output contribution 2],'Quant analysis'!$DI37)+COUNTIFS(Table1[Level of influence],"subnational",Table1[The Six Conditions of Systems Change (WORK IN PROGRESS)],"Practices",Table1[Output contribution 3],'Quant analysis'!$DI37)+COUNTIFS(Table1[Level of influence],"subnational",Table1[The Six Conditions of Systems Change (WORK IN PROGRESS)],"Practices",Table1[Output contribution 4],'Quant analysis'!$DI37)+COUNTIFS(Table1[Level of influence],"subnational",Table1[The Six Conditions of Systems Change (WORK IN PROGRESS)],"Practices",Table1[Output contribution 5],'Quant analysis'!$DI37)+COUNTIFS(Table1[Level of influence],"national",Table1[The Six Conditions of Systems Change (WORK IN PROGRESS)],"Practices",Table1[Output contribution 1],'Quant analysis'!$DI37)+COUNTIFS(Table1[Level of influence],"national",Table1[The Six Conditions of Systems Change (WORK IN PROGRESS)],"Practices",Table1[Output contribution 2],'Quant analysis'!$DI37)+COUNTIFS(Table1[Level of influence],"national",Table1[The Six Conditions of Systems Change (WORK IN PROGRESS)],"Practices",Table1[Output contribution 3],'Quant analysis'!$DI37)+COUNTIFS(Table1[Level of influence],"national",Table1[The Six Conditions of Systems Change (WORK IN PROGRESS)],"Practices",Table1[Output contribution 4],'Quant analysis'!$DI37)+COUNTIFS(Table1[Level of influence],"national",Table1[The Six Conditions of Systems Change (WORK IN PROGRESS)],"Practices",Table1[Output contribution 5],'Quant analysis'!$DI37)</f>
        <v>0</v>
      </c>
      <c r="DM37" s="19">
        <f>COUNTIFS(Table1[Level of influence],"subnational",Table1[The Six Conditions of Systems Change (WORK IN PROGRESS)],DM$1,Table1[Output contribution 1],'Quant analysis'!$DI37)+COUNTIFS(Table1[Level of influence],"subnational",Table1[The Six Conditions of Systems Change (WORK IN PROGRESS)],DM$1,Table1[Output contribution 2],'Quant analysis'!$DI37)+COUNTIFS(Table1[Level of influence],"subnational",Table1[The Six Conditions of Systems Change (WORK IN PROGRESS)],DM$1,Table1[Output contribution 3],'Quant analysis'!$DI37)+COUNTIFS(Table1[Level of influence],"subnational",Table1[The Six Conditions of Systems Change (WORK IN PROGRESS)],DM$1,Table1[Output contribution 4],'Quant analysis'!$DI37)+COUNTIFS(Table1[Level of influence],"subnational",Table1[The Six Conditions of Systems Change (WORK IN PROGRESS)],DM$1,Table1[Output contribution 5],'Quant analysis'!$DI37)+COUNTIFS(Table1[Level of influence],"national",Table1[The Six Conditions of Systems Change (WORK IN PROGRESS)],DM$1,Table1[Output contribution 1],'Quant analysis'!$DI37)+COUNTIFS(Table1[Level of influence],"national",Table1[The Six Conditions of Systems Change (WORK IN PROGRESS)],DM$1,Table1[Output contribution 2],'Quant analysis'!$DI37)+COUNTIFS(Table1[Level of influence],"national",Table1[The Six Conditions of Systems Change (WORK IN PROGRESS)],DM$1,Table1[Output contribution 3],'Quant analysis'!$DI37)+COUNTIFS(Table1[Level of influence],"national",Table1[The Six Conditions of Systems Change (WORK IN PROGRESS)],DM$1,Table1[Output contribution 4],'Quant analysis'!$DI37)+COUNTIFS(Table1[Level of influence],"national",Table1[The Six Conditions of Systems Change (WORK IN PROGRESS)],DM$1,Table1[Output contribution 5],'Quant analysis'!$DI37)</f>
        <v>0</v>
      </c>
      <c r="DN37" s="19">
        <f>COUNTIFS(Table1[Level of influence],"subnational",Table1[The Six Conditions of Systems Change (WORK IN PROGRESS)],DN$1,Table1[Output contribution 1],'Quant analysis'!$DI37)+COUNTIFS(Table1[Level of influence],"subnational",Table1[The Six Conditions of Systems Change (WORK IN PROGRESS)],DN$1,Table1[Output contribution 2],'Quant analysis'!$DI37)+COUNTIFS(Table1[Level of influence],"subnational",Table1[The Six Conditions of Systems Change (WORK IN PROGRESS)],DN$1,Table1[Output contribution 3],'Quant analysis'!$DI37)+COUNTIFS(Table1[Level of influence],"subnational",Table1[The Six Conditions of Systems Change (WORK IN PROGRESS)],DN$1,Table1[Output contribution 4],'Quant analysis'!$DI37)+COUNTIFS(Table1[Level of influence],"subnational",Table1[The Six Conditions of Systems Change (WORK IN PROGRESS)],DN$1,Table1[Output contribution 5],'Quant analysis'!$DI37)+COUNTIFS(Table1[Level of influence],"national",Table1[The Six Conditions of Systems Change (WORK IN PROGRESS)],DN$1,Table1[Output contribution 1],'Quant analysis'!$DI37)+COUNTIFS(Table1[Level of influence],"national",Table1[The Six Conditions of Systems Change (WORK IN PROGRESS)],DN$1,Table1[Output contribution 2],'Quant analysis'!$DI37)+COUNTIFS(Table1[Level of influence],"national",Table1[The Six Conditions of Systems Change (WORK IN PROGRESS)],DN$1,Table1[Output contribution 3],'Quant analysis'!$DI37)+COUNTIFS(Table1[Level of influence],"national",Table1[The Six Conditions of Systems Change (WORK IN PROGRESS)],DN$1,Table1[Output contribution 4],'Quant analysis'!$DI37)+COUNTIFS(Table1[Level of influence],"national",Table1[The Six Conditions of Systems Change (WORK IN PROGRESS)],DN$1,Table1[Output contribution 5],'Quant analysis'!$DI37)</f>
        <v>0</v>
      </c>
      <c r="DO37" s="19">
        <f>COUNTIFS(Table1[Level of influence],"subnational",Table1[The Six Conditions of Systems Change (WORK IN PROGRESS)],DO$1,Table1[Output contribution 1],'Quant analysis'!$DI37)+COUNTIFS(Table1[Level of influence],"subnational",Table1[The Six Conditions of Systems Change (WORK IN PROGRESS)],DO$1,Table1[Output contribution 2],'Quant analysis'!$DI37)+COUNTIFS(Table1[Level of influence],"subnational",Table1[The Six Conditions of Systems Change (WORK IN PROGRESS)],DO$1,Table1[Output contribution 3],'Quant analysis'!$DI37)+COUNTIFS(Table1[Level of influence],"subnational",Table1[The Six Conditions of Systems Change (WORK IN PROGRESS)],DO$1,Table1[Output contribution 4],'Quant analysis'!$DI37)+COUNTIFS(Table1[Level of influence],"subnational",Table1[The Six Conditions of Systems Change (WORK IN PROGRESS)],DO$1,Table1[Output contribution 5],'Quant analysis'!$DI37)+COUNTIFS(Table1[Level of influence],"national",Table1[The Six Conditions of Systems Change (WORK IN PROGRESS)],DO$1,Table1[Output contribution 1],'Quant analysis'!$DI37)+COUNTIFS(Table1[Level of influence],"national",Table1[The Six Conditions of Systems Change (WORK IN PROGRESS)],DO$1,Table1[Output contribution 2],'Quant analysis'!$DI37)+COUNTIFS(Table1[Level of influence],"national",Table1[The Six Conditions of Systems Change (WORK IN PROGRESS)],DO$1,Table1[Output contribution 3],'Quant analysis'!$DI37)+COUNTIFS(Table1[Level of influence],"national",Table1[The Six Conditions of Systems Change (WORK IN PROGRESS)],DO$1,Table1[Output contribution 4],'Quant analysis'!$DI37)+COUNTIFS(Table1[Level of influence],"national",Table1[The Six Conditions of Systems Change (WORK IN PROGRESS)],DO$1,Table1[Output contribution 5],'Quant analysis'!$DI37)</f>
        <v>0</v>
      </c>
      <c r="DP37" s="19">
        <f>COUNTIFS(Table1[Level of influence],"subnational",Table1[The Six Conditions of Systems Change (WORK IN PROGRESS)],DP$1,Table1[Output contribution 1],'Quant analysis'!$DI37)+COUNTIFS(Table1[Level of influence],"subnational",Table1[The Six Conditions of Systems Change (WORK IN PROGRESS)],DP$1,Table1[Output contribution 2],'Quant analysis'!$DI37)+COUNTIFS(Table1[Level of influence],"subnational",Table1[The Six Conditions of Systems Change (WORK IN PROGRESS)],DP$1,Table1[Output contribution 3],'Quant analysis'!$DI37)+COUNTIFS(Table1[Level of influence],"subnational",Table1[The Six Conditions of Systems Change (WORK IN PROGRESS)],DP$1,Table1[Output contribution 4],'Quant analysis'!$DI37)+COUNTIFS(Table1[Level of influence],"subnational",Table1[The Six Conditions of Systems Change (WORK IN PROGRESS)],DP$1,Table1[Output contribution 5],'Quant analysis'!$DI37)+COUNTIFS(Table1[Level of influence],"national",Table1[The Six Conditions of Systems Change (WORK IN PROGRESS)],DP$1,Table1[Output contribution 1],'Quant analysis'!$DI37)+COUNTIFS(Table1[Level of influence],"national",Table1[The Six Conditions of Systems Change (WORK IN PROGRESS)],DP$1,Table1[Output contribution 2],'Quant analysis'!$DI37)+COUNTIFS(Table1[Level of influence],"national",Table1[The Six Conditions of Systems Change (WORK IN PROGRESS)],DP$1,Table1[Output contribution 3],'Quant analysis'!$DI37)+COUNTIFS(Table1[Level of influence],"national",Table1[The Six Conditions of Systems Change (WORK IN PROGRESS)],DP$1,Table1[Output contribution 4],'Quant analysis'!$DI37)+COUNTIFS(Table1[Level of influence],"national",Table1[The Six Conditions of Systems Change (WORK IN PROGRESS)],DP$1,Table1[Output contribution 5],'Quant analysis'!$DI37)</f>
        <v>0</v>
      </c>
      <c r="DQ37" s="130"/>
      <c r="DR37" s="130"/>
      <c r="DS37" s="157" t="s">
        <v>296</v>
      </c>
      <c r="DT37" s="129">
        <f>SUM(DT7:DT14)</f>
        <v>0</v>
      </c>
      <c r="DU37" s="129">
        <f t="shared" ref="DU37:DY37" si="23">SUM(DU7:DU14)</f>
        <v>0</v>
      </c>
      <c r="DV37" s="129">
        <f t="shared" si="23"/>
        <v>0</v>
      </c>
      <c r="DW37" s="129">
        <f t="shared" si="23"/>
        <v>0</v>
      </c>
      <c r="DX37" s="129">
        <f t="shared" si="23"/>
        <v>0</v>
      </c>
      <c r="DY37" s="129">
        <f t="shared" si="23"/>
        <v>0</v>
      </c>
      <c r="DZ37" s="130"/>
      <c r="EA37" s="130"/>
      <c r="EB37" s="68"/>
      <c r="EC37" s="68" t="s">
        <v>4</v>
      </c>
      <c r="ED37" s="129">
        <f>SUM(EE23:EE24)</f>
        <v>0</v>
      </c>
      <c r="EE37" s="130"/>
      <c r="EF37" s="130"/>
      <c r="EG37" s="130"/>
      <c r="EH37" s="130"/>
      <c r="EI37" s="130"/>
      <c r="EJ37" s="130"/>
      <c r="EK37" s="130"/>
      <c r="EL37" s="130"/>
      <c r="EM37" s="68"/>
      <c r="EN37" s="68" t="s">
        <v>4</v>
      </c>
      <c r="EO37" s="129">
        <f>SUM(EP23:EP24)</f>
        <v>0</v>
      </c>
      <c r="EP37" s="130"/>
      <c r="EQ37" s="130"/>
      <c r="ER37" s="130"/>
      <c r="ES37" s="130"/>
      <c r="ET37" s="130"/>
      <c r="EU37" s="130"/>
      <c r="EV37" s="130"/>
      <c r="EW37" s="68"/>
      <c r="EX37" s="68" t="s">
        <v>4</v>
      </c>
      <c r="EY37" s="129">
        <f>SUM(EZ23:EZ24)</f>
        <v>0</v>
      </c>
      <c r="EZ37" s="130"/>
      <c r="FA37" s="130"/>
      <c r="FB37" s="130"/>
      <c r="FC37" s="130"/>
      <c r="FD37" s="130"/>
      <c r="FE37" s="130"/>
    </row>
    <row r="38" spans="33:161" x14ac:dyDescent="0.2">
      <c r="BT38" s="129"/>
      <c r="BU38" s="129" t="s">
        <v>108</v>
      </c>
      <c r="BV38" s="68">
        <f>COUNTIF(Outcomes!U:Y,'Quant analysis'!BU38)</f>
        <v>0</v>
      </c>
      <c r="BW38" s="19">
        <f>COUNTIFS(Outcomes!$U:$U,'Quant analysis'!$BU38,Outcomes!$Q:$Q,BW$1)+COUNTIFS(Outcomes!$V:$V,'Quant analysis'!$BU38,Outcomes!$Q:$Q,BW$1)+COUNTIFS(Outcomes!$W:$W,'Quant analysis'!$BU38,Outcomes!$Q:$Q,BW$1)+COUNTIFS(Outcomes!$X:$X,'Quant analysis'!$BU38,Outcomes!$Q:$Q,BW$1)+COUNTIFS(Outcomes!$Y:$Y,'Quant analysis'!$BU38,Outcomes!$Q:$Q,BW$1)</f>
        <v>0</v>
      </c>
      <c r="BX38" s="19">
        <f>COUNTIFS(Outcomes!$U:$U,'Quant analysis'!$BU38,Outcomes!$Q:$Q,BX$1)+COUNTIFS(Outcomes!$V:$V,'Quant analysis'!$BU38,Outcomes!$Q:$Q,BX$1)+COUNTIFS(Outcomes!$W:$W,'Quant analysis'!$BU38,Outcomes!$Q:$Q,BX$1)+COUNTIFS(Outcomes!$X:$X,'Quant analysis'!$BU38,Outcomes!$Q:$Q,BX$1)+COUNTIFS(Outcomes!$Y:$Y,'Quant analysis'!$BU38,Outcomes!$Q:$Q,BX$1)</f>
        <v>0</v>
      </c>
      <c r="BY38" s="19">
        <f>COUNTIFS(Outcomes!$U:$U,'Quant analysis'!$BU38,Outcomes!$Q:$Q,BY$1)+COUNTIFS(Outcomes!$V:$V,'Quant analysis'!$BU38,Outcomes!$Q:$Q,BY$1)+COUNTIFS(Outcomes!$W:$W,'Quant analysis'!$BU38,Outcomes!$Q:$Q,BY$1)+COUNTIFS(Outcomes!$X:$X,'Quant analysis'!$BU38,Outcomes!$Q:$Q,BY$1)+COUNTIFS(Outcomes!$Y:$Y,'Quant analysis'!$BU38,Outcomes!$Q:$Q,BY$1)</f>
        <v>0</v>
      </c>
      <c r="BZ38" s="19">
        <f>COUNTIFS(Outcomes!$U:$U,'Quant analysis'!$BU38,Outcomes!$Q:$Q,BZ$1)+COUNTIFS(Outcomes!$V:$V,'Quant analysis'!$BU38,Outcomes!$Q:$Q,BZ$1)+COUNTIFS(Outcomes!$W:$W,'Quant analysis'!$BU38,Outcomes!$Q:$Q,BZ$1)+COUNTIFS(Outcomes!$X:$X,'Quant analysis'!$BU38,Outcomes!$Q:$Q,BZ$1)+COUNTIFS(Outcomes!$Y:$Y,'Quant analysis'!$BU38,Outcomes!$Q:$Q,BZ$1)</f>
        <v>0</v>
      </c>
      <c r="CA38" s="19">
        <f>COUNTIFS(Outcomes!$U:$U,'Quant analysis'!$BU38,Outcomes!$Q:$Q,CA$1)+COUNTIFS(Outcomes!$V:$V,'Quant analysis'!$BU38,Outcomes!$Q:$Q,CA$1)+COUNTIFS(Outcomes!$W:$W,'Quant analysis'!$BU38,Outcomes!$Q:$Q,CA$1)+COUNTIFS(Outcomes!$X:$X,'Quant analysis'!$BU38,Outcomes!$Q:$Q,CA$1)+COUNTIFS(Outcomes!$Y:$Y,'Quant analysis'!$BU38,Outcomes!$Q:$Q,CA$1)</f>
        <v>0</v>
      </c>
      <c r="CB38" s="105">
        <f>COUNTIFS(Outcomes!$U:$U,'Quant analysis'!$BU38,Outcomes!$Q:$Q,CB$1)+COUNTIFS(Outcomes!$V:$V,'Quant analysis'!$BU38,Outcomes!$Q:$Q,CB$1)+COUNTIFS(Outcomes!$W:$W,'Quant analysis'!$BU38,Outcomes!$Q:$Q,CB$1)+COUNTIFS(Outcomes!$X:$X,'Quant analysis'!$BU38,Outcomes!$Q:$Q,CB$1)+COUNTIFS(Outcomes!$Y:$Y,'Quant analysis'!$BU38,Outcomes!$Q:$Q,CB$1)</f>
        <v>0</v>
      </c>
      <c r="CC38" s="105">
        <f>COUNTIFS(Outcomes!$U:$U,'Quant analysis'!$BU38,Outcomes!$Q:$Q,CC$1)+COUNTIFS(Outcomes!$V:$V,'Quant analysis'!$BU38,Outcomes!$Q:$Q,CC$1)+COUNTIFS(Outcomes!$W:$W,'Quant analysis'!$BU38,Outcomes!$Q:$Q,CC$1)+COUNTIFS(Outcomes!$X:$X,'Quant analysis'!$BU38,Outcomes!$Q:$Q,CC$1)+COUNTIFS(Outcomes!$Y:$Y,'Quant analysis'!$BU38,Outcomes!$Q:$Q,CC$1)</f>
        <v>0</v>
      </c>
      <c r="CD38" s="105">
        <f>COUNTIFS(Outcomes!$U:$U,'Quant analysis'!$BU38,Outcomes!$Q:$Q,CD$1)+COUNTIFS(Outcomes!$V:$V,'Quant analysis'!$BU38,Outcomes!$Q:$Q,CD$1)+COUNTIFS(Outcomes!$W:$W,'Quant analysis'!$BU38,Outcomes!$Q:$Q,CD$1)+COUNTIFS(Outcomes!$X:$X,'Quant analysis'!$BU38,Outcomes!$Q:$Q,CD$1)+COUNTIFS(Outcomes!$Y:$Y,'Quant analysis'!$BU38,Outcomes!$Q:$Q,CD$1)</f>
        <v>0</v>
      </c>
      <c r="CE38" s="105">
        <f>COUNTIFS(Outcomes!$U:$U,'Quant analysis'!$BU38,Outcomes!$Q:$Q,CE$1)+COUNTIFS(Outcomes!$V:$V,'Quant analysis'!$BU38,Outcomes!$Q:$Q,CE$1)+COUNTIFS(Outcomes!$W:$W,'Quant analysis'!$BU38,Outcomes!$Q:$Q,CE$1)+COUNTIFS(Outcomes!$X:$X,'Quant analysis'!$BU38,Outcomes!$Q:$Q,CE$1)+COUNTIFS(Outcomes!$Y:$Y,'Quant analysis'!$BU38,Outcomes!$Q:$Q,CE$1)</f>
        <v>0</v>
      </c>
      <c r="CF38" s="129">
        <f t="shared" si="4"/>
        <v>0</v>
      </c>
      <c r="CG38" s="130"/>
      <c r="CH38" s="130"/>
      <c r="CI38" s="130"/>
      <c r="CJ38" s="130"/>
      <c r="CK38" s="130"/>
      <c r="CL38" s="130"/>
      <c r="CM38" s="130"/>
      <c r="CN38" s="130"/>
      <c r="CO38" s="130"/>
      <c r="CP38" s="130"/>
      <c r="CQ38" s="130"/>
      <c r="CR38" s="130"/>
      <c r="CS38" s="130"/>
      <c r="CT38" s="130"/>
      <c r="CU38" s="130"/>
      <c r="CV38" s="131"/>
      <c r="CW38" s="68"/>
      <c r="CX38" s="68" t="s">
        <v>3</v>
      </c>
      <c r="CY38" s="129">
        <f>SUM(CY20:CY22,CY29:CY31)</f>
        <v>0</v>
      </c>
      <c r="CZ38" s="130"/>
      <c r="DA38" s="130"/>
      <c r="DB38" s="130"/>
      <c r="DC38" s="130"/>
      <c r="DD38" s="130"/>
      <c r="DE38" s="130"/>
      <c r="DF38" s="130"/>
      <c r="DG38" s="130"/>
      <c r="DH38" s="129"/>
      <c r="DI38" s="129" t="s">
        <v>108</v>
      </c>
      <c r="DJ38" s="68">
        <f t="shared" si="7"/>
        <v>0</v>
      </c>
      <c r="DK38" s="19">
        <f>COUNTIFS(Table1[Level of influence],"subnational",Table1[The Six Conditions of Systems Change (WORK IN PROGRESS)],"Policies",Table1[Output contribution 1],'Quant analysis'!DI38)+COUNTIFS(Table1[Level of influence],"subnational",Table1[The Six Conditions of Systems Change (WORK IN PROGRESS)],"Policies",Table1[Output contribution 2],'Quant analysis'!DI38)+COUNTIFS(Table1[Level of influence],"subnational",Table1[The Six Conditions of Systems Change (WORK IN PROGRESS)],"Policies",Table1[Output contribution 3],'Quant analysis'!DI38)+COUNTIFS(Table1[Level of influence],"subnational",Table1[The Six Conditions of Systems Change (WORK IN PROGRESS)],"Policies",Table1[Output contribution 4],'Quant analysis'!DI38)+COUNTIFS(Table1[Level of influence],"subnational",Table1[The Six Conditions of Systems Change (WORK IN PROGRESS)],"Policies",Table1[Output contribution 5],'Quant analysis'!DI38)+COUNTIFS(Table1[Level of influence],"national",Table1[The Six Conditions of Systems Change (WORK IN PROGRESS)],"Policies",Table1[Output contribution 1],'Quant analysis'!DI38)+COUNTIFS(Table1[Level of influence],"national",Table1[The Six Conditions of Systems Change (WORK IN PROGRESS)],"Policies",Table1[Output contribution 2],'Quant analysis'!DI38)+COUNTIFS(Table1[Level of influence],"national",Table1[The Six Conditions of Systems Change (WORK IN PROGRESS)],"Policies",Table1[Output contribution 3],'Quant analysis'!DI38)+COUNTIFS(Table1[Level of influence],"national",Table1[The Six Conditions of Systems Change (WORK IN PROGRESS)],"Policies",Table1[Output contribution 4],'Quant analysis'!DI38)+COUNTIFS(Table1[Level of influence],"national",Table1[The Six Conditions of Systems Change (WORK IN PROGRESS)],"Policies",Table1[Output contribution 5],'Quant analysis'!DI38)</f>
        <v>0</v>
      </c>
      <c r="DL38" s="19">
        <f>COUNTIFS(Table1[Level of influence],"subnational",Table1[The Six Conditions of Systems Change (WORK IN PROGRESS)],"Practices",Table1[Output contribution 1],'Quant analysis'!$DI38)+COUNTIFS(Table1[Level of influence],"subnational",Table1[The Six Conditions of Systems Change (WORK IN PROGRESS)],"Practices",Table1[Output contribution 2],'Quant analysis'!$DI38)+COUNTIFS(Table1[Level of influence],"subnational",Table1[The Six Conditions of Systems Change (WORK IN PROGRESS)],"Practices",Table1[Output contribution 3],'Quant analysis'!$DI38)+COUNTIFS(Table1[Level of influence],"subnational",Table1[The Six Conditions of Systems Change (WORK IN PROGRESS)],"Practices",Table1[Output contribution 4],'Quant analysis'!$DI38)+COUNTIFS(Table1[Level of influence],"subnational",Table1[The Six Conditions of Systems Change (WORK IN PROGRESS)],"Practices",Table1[Output contribution 5],'Quant analysis'!$DI38)+COUNTIFS(Table1[Level of influence],"national",Table1[The Six Conditions of Systems Change (WORK IN PROGRESS)],"Practices",Table1[Output contribution 1],'Quant analysis'!$DI38)+COUNTIFS(Table1[Level of influence],"national",Table1[The Six Conditions of Systems Change (WORK IN PROGRESS)],"Practices",Table1[Output contribution 2],'Quant analysis'!$DI38)+COUNTIFS(Table1[Level of influence],"national",Table1[The Six Conditions of Systems Change (WORK IN PROGRESS)],"Practices",Table1[Output contribution 3],'Quant analysis'!$DI38)+COUNTIFS(Table1[Level of influence],"national",Table1[The Six Conditions of Systems Change (WORK IN PROGRESS)],"Practices",Table1[Output contribution 4],'Quant analysis'!$DI38)+COUNTIFS(Table1[Level of influence],"national",Table1[The Six Conditions of Systems Change (WORK IN PROGRESS)],"Practices",Table1[Output contribution 5],'Quant analysis'!$DI38)</f>
        <v>0</v>
      </c>
      <c r="DM38" s="19">
        <f>COUNTIFS(Table1[Level of influence],"subnational",Table1[The Six Conditions of Systems Change (WORK IN PROGRESS)],DM$1,Table1[Output contribution 1],'Quant analysis'!$DI38)+COUNTIFS(Table1[Level of influence],"subnational",Table1[The Six Conditions of Systems Change (WORK IN PROGRESS)],DM$1,Table1[Output contribution 2],'Quant analysis'!$DI38)+COUNTIFS(Table1[Level of influence],"subnational",Table1[The Six Conditions of Systems Change (WORK IN PROGRESS)],DM$1,Table1[Output contribution 3],'Quant analysis'!$DI38)+COUNTIFS(Table1[Level of influence],"subnational",Table1[The Six Conditions of Systems Change (WORK IN PROGRESS)],DM$1,Table1[Output contribution 4],'Quant analysis'!$DI38)+COUNTIFS(Table1[Level of influence],"subnational",Table1[The Six Conditions of Systems Change (WORK IN PROGRESS)],DM$1,Table1[Output contribution 5],'Quant analysis'!$DI38)+COUNTIFS(Table1[Level of influence],"national",Table1[The Six Conditions of Systems Change (WORK IN PROGRESS)],DM$1,Table1[Output contribution 1],'Quant analysis'!$DI38)+COUNTIFS(Table1[Level of influence],"national",Table1[The Six Conditions of Systems Change (WORK IN PROGRESS)],DM$1,Table1[Output contribution 2],'Quant analysis'!$DI38)+COUNTIFS(Table1[Level of influence],"national",Table1[The Six Conditions of Systems Change (WORK IN PROGRESS)],DM$1,Table1[Output contribution 3],'Quant analysis'!$DI38)+COUNTIFS(Table1[Level of influence],"national",Table1[The Six Conditions of Systems Change (WORK IN PROGRESS)],DM$1,Table1[Output contribution 4],'Quant analysis'!$DI38)+COUNTIFS(Table1[Level of influence],"national",Table1[The Six Conditions of Systems Change (WORK IN PROGRESS)],DM$1,Table1[Output contribution 5],'Quant analysis'!$DI38)</f>
        <v>0</v>
      </c>
      <c r="DN38" s="19">
        <f>COUNTIFS(Table1[Level of influence],"subnational",Table1[The Six Conditions of Systems Change (WORK IN PROGRESS)],DN$1,Table1[Output contribution 1],'Quant analysis'!$DI38)+COUNTIFS(Table1[Level of influence],"subnational",Table1[The Six Conditions of Systems Change (WORK IN PROGRESS)],DN$1,Table1[Output contribution 2],'Quant analysis'!$DI38)+COUNTIFS(Table1[Level of influence],"subnational",Table1[The Six Conditions of Systems Change (WORK IN PROGRESS)],DN$1,Table1[Output contribution 3],'Quant analysis'!$DI38)+COUNTIFS(Table1[Level of influence],"subnational",Table1[The Six Conditions of Systems Change (WORK IN PROGRESS)],DN$1,Table1[Output contribution 4],'Quant analysis'!$DI38)+COUNTIFS(Table1[Level of influence],"subnational",Table1[The Six Conditions of Systems Change (WORK IN PROGRESS)],DN$1,Table1[Output contribution 5],'Quant analysis'!$DI38)+COUNTIFS(Table1[Level of influence],"national",Table1[The Six Conditions of Systems Change (WORK IN PROGRESS)],DN$1,Table1[Output contribution 1],'Quant analysis'!$DI38)+COUNTIFS(Table1[Level of influence],"national",Table1[The Six Conditions of Systems Change (WORK IN PROGRESS)],DN$1,Table1[Output contribution 2],'Quant analysis'!$DI38)+COUNTIFS(Table1[Level of influence],"national",Table1[The Six Conditions of Systems Change (WORK IN PROGRESS)],DN$1,Table1[Output contribution 3],'Quant analysis'!$DI38)+COUNTIFS(Table1[Level of influence],"national",Table1[The Six Conditions of Systems Change (WORK IN PROGRESS)],DN$1,Table1[Output contribution 4],'Quant analysis'!$DI38)+COUNTIFS(Table1[Level of influence],"national",Table1[The Six Conditions of Systems Change (WORK IN PROGRESS)],DN$1,Table1[Output contribution 5],'Quant analysis'!$DI38)</f>
        <v>0</v>
      </c>
      <c r="DO38" s="19">
        <f>COUNTIFS(Table1[Level of influence],"subnational",Table1[The Six Conditions of Systems Change (WORK IN PROGRESS)],DO$1,Table1[Output contribution 1],'Quant analysis'!$DI38)+COUNTIFS(Table1[Level of influence],"subnational",Table1[The Six Conditions of Systems Change (WORK IN PROGRESS)],DO$1,Table1[Output contribution 2],'Quant analysis'!$DI38)+COUNTIFS(Table1[Level of influence],"subnational",Table1[The Six Conditions of Systems Change (WORK IN PROGRESS)],DO$1,Table1[Output contribution 3],'Quant analysis'!$DI38)+COUNTIFS(Table1[Level of influence],"subnational",Table1[The Six Conditions of Systems Change (WORK IN PROGRESS)],DO$1,Table1[Output contribution 4],'Quant analysis'!$DI38)+COUNTIFS(Table1[Level of influence],"subnational",Table1[The Six Conditions of Systems Change (WORK IN PROGRESS)],DO$1,Table1[Output contribution 5],'Quant analysis'!$DI38)+COUNTIFS(Table1[Level of influence],"national",Table1[The Six Conditions of Systems Change (WORK IN PROGRESS)],DO$1,Table1[Output contribution 1],'Quant analysis'!$DI38)+COUNTIFS(Table1[Level of influence],"national",Table1[The Six Conditions of Systems Change (WORK IN PROGRESS)],DO$1,Table1[Output contribution 2],'Quant analysis'!$DI38)+COUNTIFS(Table1[Level of influence],"national",Table1[The Six Conditions of Systems Change (WORK IN PROGRESS)],DO$1,Table1[Output contribution 3],'Quant analysis'!$DI38)+COUNTIFS(Table1[Level of influence],"national",Table1[The Six Conditions of Systems Change (WORK IN PROGRESS)],DO$1,Table1[Output contribution 4],'Quant analysis'!$DI38)+COUNTIFS(Table1[Level of influence],"national",Table1[The Six Conditions of Systems Change (WORK IN PROGRESS)],DO$1,Table1[Output contribution 5],'Quant analysis'!$DI38)</f>
        <v>0</v>
      </c>
      <c r="DP38" s="19">
        <f>COUNTIFS(Table1[Level of influence],"subnational",Table1[The Six Conditions of Systems Change (WORK IN PROGRESS)],DP$1,Table1[Output contribution 1],'Quant analysis'!$DI38)+COUNTIFS(Table1[Level of influence],"subnational",Table1[The Six Conditions of Systems Change (WORK IN PROGRESS)],DP$1,Table1[Output contribution 2],'Quant analysis'!$DI38)+COUNTIFS(Table1[Level of influence],"subnational",Table1[The Six Conditions of Systems Change (WORK IN PROGRESS)],DP$1,Table1[Output contribution 3],'Quant analysis'!$DI38)+COUNTIFS(Table1[Level of influence],"subnational",Table1[The Six Conditions of Systems Change (WORK IN PROGRESS)],DP$1,Table1[Output contribution 4],'Quant analysis'!$DI38)+COUNTIFS(Table1[Level of influence],"subnational",Table1[The Six Conditions of Systems Change (WORK IN PROGRESS)],DP$1,Table1[Output contribution 5],'Quant analysis'!$DI38)+COUNTIFS(Table1[Level of influence],"national",Table1[The Six Conditions of Systems Change (WORK IN PROGRESS)],DP$1,Table1[Output contribution 1],'Quant analysis'!$DI38)+COUNTIFS(Table1[Level of influence],"national",Table1[The Six Conditions of Systems Change (WORK IN PROGRESS)],DP$1,Table1[Output contribution 2],'Quant analysis'!$DI38)+COUNTIFS(Table1[Level of influence],"national",Table1[The Six Conditions of Systems Change (WORK IN PROGRESS)],DP$1,Table1[Output contribution 3],'Quant analysis'!$DI38)+COUNTIFS(Table1[Level of influence],"national",Table1[The Six Conditions of Systems Change (WORK IN PROGRESS)],DP$1,Table1[Output contribution 4],'Quant analysis'!$DI38)+COUNTIFS(Table1[Level of influence],"national",Table1[The Six Conditions of Systems Change (WORK IN PROGRESS)],DP$1,Table1[Output contribution 5],'Quant analysis'!$DI38)</f>
        <v>0</v>
      </c>
      <c r="DQ38" s="130"/>
      <c r="DR38" s="130"/>
      <c r="DS38" s="157" t="s">
        <v>297</v>
      </c>
      <c r="DT38" s="129">
        <f>SUM(DT15:DT32)</f>
        <v>0</v>
      </c>
      <c r="DU38" s="129">
        <f t="shared" ref="DU38:DY38" si="24">SUM(DU15:DU32)</f>
        <v>0</v>
      </c>
      <c r="DV38" s="129">
        <f t="shared" si="24"/>
        <v>0</v>
      </c>
      <c r="DW38" s="129">
        <f t="shared" si="24"/>
        <v>0</v>
      </c>
      <c r="DX38" s="129">
        <f t="shared" si="24"/>
        <v>0</v>
      </c>
      <c r="DY38" s="129">
        <f t="shared" si="24"/>
        <v>0</v>
      </c>
      <c r="DZ38" s="130"/>
      <c r="EA38" s="130"/>
      <c r="EB38" s="68"/>
      <c r="EC38" s="68" t="s">
        <v>5</v>
      </c>
      <c r="ED38" s="129">
        <f>SUM(EF23:EF24)</f>
        <v>0</v>
      </c>
      <c r="EE38" s="130"/>
      <c r="EF38" s="130"/>
      <c r="EG38" s="130"/>
      <c r="EH38" s="130"/>
      <c r="EI38" s="130"/>
      <c r="EJ38" s="130"/>
      <c r="EK38" s="130"/>
      <c r="EL38" s="130"/>
      <c r="EM38" s="68"/>
      <c r="EN38" s="68" t="s">
        <v>5</v>
      </c>
      <c r="EO38" s="129">
        <f>SUM(EQ23:EQ24)</f>
        <v>0</v>
      </c>
      <c r="EP38" s="130"/>
      <c r="EQ38" s="130"/>
      <c r="ER38" s="130"/>
      <c r="ES38" s="130"/>
      <c r="ET38" s="130"/>
      <c r="EU38" s="130"/>
      <c r="EV38" s="130"/>
      <c r="EW38" s="68"/>
      <c r="EX38" s="68" t="s">
        <v>5</v>
      </c>
      <c r="EY38" s="129">
        <f>SUM(FA23:FA24)</f>
        <v>0</v>
      </c>
      <c r="EZ38" s="130"/>
      <c r="FA38" s="130"/>
      <c r="FB38" s="130"/>
      <c r="FC38" s="130"/>
      <c r="FD38" s="130"/>
      <c r="FE38" s="130"/>
    </row>
    <row r="39" spans="33:161" x14ac:dyDescent="0.2">
      <c r="BT39" s="129" t="s">
        <v>239</v>
      </c>
      <c r="BU39" s="129" t="s">
        <v>152</v>
      </c>
      <c r="BV39" s="68">
        <f>COUNTIF(Outcomes!U:Y,'Quant analysis'!BU39)</f>
        <v>0</v>
      </c>
      <c r="BW39" s="19">
        <f>COUNTIFS(Outcomes!$U:$U,'Quant analysis'!$BU39,Outcomes!$Q:$Q,BW$1)+COUNTIFS(Outcomes!$V:$V,'Quant analysis'!$BU39,Outcomes!$Q:$Q,BW$1)+COUNTIFS(Outcomes!$W:$W,'Quant analysis'!$BU39,Outcomes!$Q:$Q,BW$1)+COUNTIFS(Outcomes!$X:$X,'Quant analysis'!$BU39,Outcomes!$Q:$Q,BW$1)+COUNTIFS(Outcomes!$Y:$Y,'Quant analysis'!$BU39,Outcomes!$Q:$Q,BW$1)</f>
        <v>0</v>
      </c>
      <c r="BX39" s="19">
        <f>COUNTIFS(Outcomes!$U:$U,'Quant analysis'!$BU39,Outcomes!$Q:$Q,BX$1)+COUNTIFS(Outcomes!$V:$V,'Quant analysis'!$BU39,Outcomes!$Q:$Q,BX$1)+COUNTIFS(Outcomes!$W:$W,'Quant analysis'!$BU39,Outcomes!$Q:$Q,BX$1)+COUNTIFS(Outcomes!$X:$X,'Quant analysis'!$BU39,Outcomes!$Q:$Q,BX$1)+COUNTIFS(Outcomes!$Y:$Y,'Quant analysis'!$BU39,Outcomes!$Q:$Q,BX$1)</f>
        <v>0</v>
      </c>
      <c r="BY39" s="19">
        <f>COUNTIFS(Outcomes!$U:$U,'Quant analysis'!$BU39,Outcomes!$Q:$Q,BY$1)+COUNTIFS(Outcomes!$V:$V,'Quant analysis'!$BU39,Outcomes!$Q:$Q,BY$1)+COUNTIFS(Outcomes!$W:$W,'Quant analysis'!$BU39,Outcomes!$Q:$Q,BY$1)+COUNTIFS(Outcomes!$X:$X,'Quant analysis'!$BU39,Outcomes!$Q:$Q,BY$1)+COUNTIFS(Outcomes!$Y:$Y,'Quant analysis'!$BU39,Outcomes!$Q:$Q,BY$1)</f>
        <v>0</v>
      </c>
      <c r="BZ39" s="19">
        <f>COUNTIFS(Outcomes!$U:$U,'Quant analysis'!$BU39,Outcomes!$Q:$Q,BZ$1)+COUNTIFS(Outcomes!$V:$V,'Quant analysis'!$BU39,Outcomes!$Q:$Q,BZ$1)+COUNTIFS(Outcomes!$W:$W,'Quant analysis'!$BU39,Outcomes!$Q:$Q,BZ$1)+COUNTIFS(Outcomes!$X:$X,'Quant analysis'!$BU39,Outcomes!$Q:$Q,BZ$1)+COUNTIFS(Outcomes!$Y:$Y,'Quant analysis'!$BU39,Outcomes!$Q:$Q,BZ$1)</f>
        <v>0</v>
      </c>
      <c r="CA39" s="19">
        <f>COUNTIFS(Outcomes!$U:$U,'Quant analysis'!$BU39,Outcomes!$Q:$Q,CA$1)+COUNTIFS(Outcomes!$V:$V,'Quant analysis'!$BU39,Outcomes!$Q:$Q,CA$1)+COUNTIFS(Outcomes!$W:$W,'Quant analysis'!$BU39,Outcomes!$Q:$Q,CA$1)+COUNTIFS(Outcomes!$X:$X,'Quant analysis'!$BU39,Outcomes!$Q:$Q,CA$1)+COUNTIFS(Outcomes!$Y:$Y,'Quant analysis'!$BU39,Outcomes!$Q:$Q,CA$1)</f>
        <v>0</v>
      </c>
      <c r="CB39" s="105">
        <f>COUNTIFS(Outcomes!$U:$U,'Quant analysis'!$BU39,Outcomes!$Q:$Q,CB$1)+COUNTIFS(Outcomes!$V:$V,'Quant analysis'!$BU39,Outcomes!$Q:$Q,CB$1)+COUNTIFS(Outcomes!$W:$W,'Quant analysis'!$BU39,Outcomes!$Q:$Q,CB$1)+COUNTIFS(Outcomes!$X:$X,'Quant analysis'!$BU39,Outcomes!$Q:$Q,CB$1)+COUNTIFS(Outcomes!$Y:$Y,'Quant analysis'!$BU39,Outcomes!$Q:$Q,CB$1)</f>
        <v>0</v>
      </c>
      <c r="CC39" s="105">
        <f>COUNTIFS(Outcomes!$U:$U,'Quant analysis'!$BU39,Outcomes!$Q:$Q,CC$1)+COUNTIFS(Outcomes!$V:$V,'Quant analysis'!$BU39,Outcomes!$Q:$Q,CC$1)+COUNTIFS(Outcomes!$W:$W,'Quant analysis'!$BU39,Outcomes!$Q:$Q,CC$1)+COUNTIFS(Outcomes!$X:$X,'Quant analysis'!$BU39,Outcomes!$Q:$Q,CC$1)+COUNTIFS(Outcomes!$Y:$Y,'Quant analysis'!$BU39,Outcomes!$Q:$Q,CC$1)</f>
        <v>0</v>
      </c>
      <c r="CD39" s="105">
        <f>COUNTIFS(Outcomes!$U:$U,'Quant analysis'!$BU39,Outcomes!$Q:$Q,CD$1)+COUNTIFS(Outcomes!$V:$V,'Quant analysis'!$BU39,Outcomes!$Q:$Q,CD$1)+COUNTIFS(Outcomes!$W:$W,'Quant analysis'!$BU39,Outcomes!$Q:$Q,CD$1)+COUNTIFS(Outcomes!$X:$X,'Quant analysis'!$BU39,Outcomes!$Q:$Q,CD$1)+COUNTIFS(Outcomes!$Y:$Y,'Quant analysis'!$BU39,Outcomes!$Q:$Q,CD$1)</f>
        <v>0</v>
      </c>
      <c r="CE39" s="105">
        <f>COUNTIFS(Outcomes!$U:$U,'Quant analysis'!$BU39,Outcomes!$Q:$Q,CE$1)+COUNTIFS(Outcomes!$V:$V,'Quant analysis'!$BU39,Outcomes!$Q:$Q,CE$1)+COUNTIFS(Outcomes!$W:$W,'Quant analysis'!$BU39,Outcomes!$Q:$Q,CE$1)+COUNTIFS(Outcomes!$X:$X,'Quant analysis'!$BU39,Outcomes!$Q:$Q,CE$1)+COUNTIFS(Outcomes!$Y:$Y,'Quant analysis'!$BU39,Outcomes!$Q:$Q,CE$1)</f>
        <v>0</v>
      </c>
      <c r="CF39" s="129">
        <f t="shared" si="4"/>
        <v>0</v>
      </c>
      <c r="CG39" s="130"/>
      <c r="CH39" s="130"/>
      <c r="CI39" s="130"/>
      <c r="CJ39" s="130"/>
      <c r="CK39" s="130"/>
      <c r="CL39" s="130"/>
      <c r="CM39" s="130"/>
      <c r="CN39" s="130"/>
      <c r="CO39" s="130"/>
      <c r="CP39" s="130"/>
      <c r="CQ39" s="130"/>
      <c r="CR39" s="130"/>
      <c r="CS39" s="130"/>
      <c r="CT39" s="130"/>
      <c r="CU39" s="130"/>
      <c r="CV39" s="131"/>
      <c r="CW39" s="68"/>
      <c r="CX39" s="68" t="s">
        <v>4</v>
      </c>
      <c r="CY39" s="129">
        <f>SUM(CZ20:CZ22,CZ29:CZ31)</f>
        <v>0</v>
      </c>
      <c r="CZ39" s="130"/>
      <c r="DA39" s="130"/>
      <c r="DB39" s="130"/>
      <c r="DC39" s="130"/>
      <c r="DD39" s="130"/>
      <c r="DE39" s="130"/>
      <c r="DF39" s="130"/>
      <c r="DG39" s="130"/>
      <c r="DH39" s="129" t="s">
        <v>239</v>
      </c>
      <c r="DI39" s="129" t="s">
        <v>152</v>
      </c>
      <c r="DJ39" s="68">
        <f t="shared" si="7"/>
        <v>0</v>
      </c>
      <c r="DK39" s="19">
        <f>COUNTIFS(Table1[Level of influence],"subnational",Table1[The Six Conditions of Systems Change (WORK IN PROGRESS)],"Policies",Table1[Output contribution 1],'Quant analysis'!DI39)+COUNTIFS(Table1[Level of influence],"subnational",Table1[The Six Conditions of Systems Change (WORK IN PROGRESS)],"Policies",Table1[Output contribution 2],'Quant analysis'!DI39)+COUNTIFS(Table1[Level of influence],"subnational",Table1[The Six Conditions of Systems Change (WORK IN PROGRESS)],"Policies",Table1[Output contribution 3],'Quant analysis'!DI39)+COUNTIFS(Table1[Level of influence],"subnational",Table1[The Six Conditions of Systems Change (WORK IN PROGRESS)],"Policies",Table1[Output contribution 4],'Quant analysis'!DI39)+COUNTIFS(Table1[Level of influence],"subnational",Table1[The Six Conditions of Systems Change (WORK IN PROGRESS)],"Policies",Table1[Output contribution 5],'Quant analysis'!DI39)+COUNTIFS(Table1[Level of influence],"national",Table1[The Six Conditions of Systems Change (WORK IN PROGRESS)],"Policies",Table1[Output contribution 1],'Quant analysis'!DI39)+COUNTIFS(Table1[Level of influence],"national",Table1[The Six Conditions of Systems Change (WORK IN PROGRESS)],"Policies",Table1[Output contribution 2],'Quant analysis'!DI39)+COUNTIFS(Table1[Level of influence],"national",Table1[The Six Conditions of Systems Change (WORK IN PROGRESS)],"Policies",Table1[Output contribution 3],'Quant analysis'!DI39)+COUNTIFS(Table1[Level of influence],"national",Table1[The Six Conditions of Systems Change (WORK IN PROGRESS)],"Policies",Table1[Output contribution 4],'Quant analysis'!DI39)+COUNTIFS(Table1[Level of influence],"national",Table1[The Six Conditions of Systems Change (WORK IN PROGRESS)],"Policies",Table1[Output contribution 5],'Quant analysis'!DI39)</f>
        <v>0</v>
      </c>
      <c r="DL39" s="19">
        <f>COUNTIFS(Table1[Level of influence],"subnational",Table1[The Six Conditions of Systems Change (WORK IN PROGRESS)],"Practices",Table1[Output contribution 1],'Quant analysis'!$DI39)+COUNTIFS(Table1[Level of influence],"subnational",Table1[The Six Conditions of Systems Change (WORK IN PROGRESS)],"Practices",Table1[Output contribution 2],'Quant analysis'!$DI39)+COUNTIFS(Table1[Level of influence],"subnational",Table1[The Six Conditions of Systems Change (WORK IN PROGRESS)],"Practices",Table1[Output contribution 3],'Quant analysis'!$DI39)+COUNTIFS(Table1[Level of influence],"subnational",Table1[The Six Conditions of Systems Change (WORK IN PROGRESS)],"Practices",Table1[Output contribution 4],'Quant analysis'!$DI39)+COUNTIFS(Table1[Level of influence],"subnational",Table1[The Six Conditions of Systems Change (WORK IN PROGRESS)],"Practices",Table1[Output contribution 5],'Quant analysis'!$DI39)+COUNTIFS(Table1[Level of influence],"national",Table1[The Six Conditions of Systems Change (WORK IN PROGRESS)],"Practices",Table1[Output contribution 1],'Quant analysis'!$DI39)+COUNTIFS(Table1[Level of influence],"national",Table1[The Six Conditions of Systems Change (WORK IN PROGRESS)],"Practices",Table1[Output contribution 2],'Quant analysis'!$DI39)+COUNTIFS(Table1[Level of influence],"national",Table1[The Six Conditions of Systems Change (WORK IN PROGRESS)],"Practices",Table1[Output contribution 3],'Quant analysis'!$DI39)+COUNTIFS(Table1[Level of influence],"national",Table1[The Six Conditions of Systems Change (WORK IN PROGRESS)],"Practices",Table1[Output contribution 4],'Quant analysis'!$DI39)+COUNTIFS(Table1[Level of influence],"national",Table1[The Six Conditions of Systems Change (WORK IN PROGRESS)],"Practices",Table1[Output contribution 5],'Quant analysis'!$DI39)</f>
        <v>0</v>
      </c>
      <c r="DM39" s="19">
        <f>COUNTIFS(Table1[Level of influence],"subnational",Table1[The Six Conditions of Systems Change (WORK IN PROGRESS)],DM$1,Table1[Output contribution 1],'Quant analysis'!$DI39)+COUNTIFS(Table1[Level of influence],"subnational",Table1[The Six Conditions of Systems Change (WORK IN PROGRESS)],DM$1,Table1[Output contribution 2],'Quant analysis'!$DI39)+COUNTIFS(Table1[Level of influence],"subnational",Table1[The Six Conditions of Systems Change (WORK IN PROGRESS)],DM$1,Table1[Output contribution 3],'Quant analysis'!$DI39)+COUNTIFS(Table1[Level of influence],"subnational",Table1[The Six Conditions of Systems Change (WORK IN PROGRESS)],DM$1,Table1[Output contribution 4],'Quant analysis'!$DI39)+COUNTIFS(Table1[Level of influence],"subnational",Table1[The Six Conditions of Systems Change (WORK IN PROGRESS)],DM$1,Table1[Output contribution 5],'Quant analysis'!$DI39)+COUNTIFS(Table1[Level of influence],"national",Table1[The Six Conditions of Systems Change (WORK IN PROGRESS)],DM$1,Table1[Output contribution 1],'Quant analysis'!$DI39)+COUNTIFS(Table1[Level of influence],"national",Table1[The Six Conditions of Systems Change (WORK IN PROGRESS)],DM$1,Table1[Output contribution 2],'Quant analysis'!$DI39)+COUNTIFS(Table1[Level of influence],"national",Table1[The Six Conditions of Systems Change (WORK IN PROGRESS)],DM$1,Table1[Output contribution 3],'Quant analysis'!$DI39)+COUNTIFS(Table1[Level of influence],"national",Table1[The Six Conditions of Systems Change (WORK IN PROGRESS)],DM$1,Table1[Output contribution 4],'Quant analysis'!$DI39)+COUNTIFS(Table1[Level of influence],"national",Table1[The Six Conditions of Systems Change (WORK IN PROGRESS)],DM$1,Table1[Output contribution 5],'Quant analysis'!$DI39)</f>
        <v>0</v>
      </c>
      <c r="DN39" s="19">
        <f>COUNTIFS(Table1[Level of influence],"subnational",Table1[The Six Conditions of Systems Change (WORK IN PROGRESS)],DN$1,Table1[Output contribution 1],'Quant analysis'!$DI39)+COUNTIFS(Table1[Level of influence],"subnational",Table1[The Six Conditions of Systems Change (WORK IN PROGRESS)],DN$1,Table1[Output contribution 2],'Quant analysis'!$DI39)+COUNTIFS(Table1[Level of influence],"subnational",Table1[The Six Conditions of Systems Change (WORK IN PROGRESS)],DN$1,Table1[Output contribution 3],'Quant analysis'!$DI39)+COUNTIFS(Table1[Level of influence],"subnational",Table1[The Six Conditions of Systems Change (WORK IN PROGRESS)],DN$1,Table1[Output contribution 4],'Quant analysis'!$DI39)+COUNTIFS(Table1[Level of influence],"subnational",Table1[The Six Conditions of Systems Change (WORK IN PROGRESS)],DN$1,Table1[Output contribution 5],'Quant analysis'!$DI39)+COUNTIFS(Table1[Level of influence],"national",Table1[The Six Conditions of Systems Change (WORK IN PROGRESS)],DN$1,Table1[Output contribution 1],'Quant analysis'!$DI39)+COUNTIFS(Table1[Level of influence],"national",Table1[The Six Conditions of Systems Change (WORK IN PROGRESS)],DN$1,Table1[Output contribution 2],'Quant analysis'!$DI39)+COUNTIFS(Table1[Level of influence],"national",Table1[The Six Conditions of Systems Change (WORK IN PROGRESS)],DN$1,Table1[Output contribution 3],'Quant analysis'!$DI39)+COUNTIFS(Table1[Level of influence],"national",Table1[The Six Conditions of Systems Change (WORK IN PROGRESS)],DN$1,Table1[Output contribution 4],'Quant analysis'!$DI39)+COUNTIFS(Table1[Level of influence],"national",Table1[The Six Conditions of Systems Change (WORK IN PROGRESS)],DN$1,Table1[Output contribution 5],'Quant analysis'!$DI39)</f>
        <v>0</v>
      </c>
      <c r="DO39" s="19">
        <f>COUNTIFS(Table1[Level of influence],"subnational",Table1[The Six Conditions of Systems Change (WORK IN PROGRESS)],DO$1,Table1[Output contribution 1],'Quant analysis'!$DI39)+COUNTIFS(Table1[Level of influence],"subnational",Table1[The Six Conditions of Systems Change (WORK IN PROGRESS)],DO$1,Table1[Output contribution 2],'Quant analysis'!$DI39)+COUNTIFS(Table1[Level of influence],"subnational",Table1[The Six Conditions of Systems Change (WORK IN PROGRESS)],DO$1,Table1[Output contribution 3],'Quant analysis'!$DI39)+COUNTIFS(Table1[Level of influence],"subnational",Table1[The Six Conditions of Systems Change (WORK IN PROGRESS)],DO$1,Table1[Output contribution 4],'Quant analysis'!$DI39)+COUNTIFS(Table1[Level of influence],"subnational",Table1[The Six Conditions of Systems Change (WORK IN PROGRESS)],DO$1,Table1[Output contribution 5],'Quant analysis'!$DI39)+COUNTIFS(Table1[Level of influence],"national",Table1[The Six Conditions of Systems Change (WORK IN PROGRESS)],DO$1,Table1[Output contribution 1],'Quant analysis'!$DI39)+COUNTIFS(Table1[Level of influence],"national",Table1[The Six Conditions of Systems Change (WORK IN PROGRESS)],DO$1,Table1[Output contribution 2],'Quant analysis'!$DI39)+COUNTIFS(Table1[Level of influence],"national",Table1[The Six Conditions of Systems Change (WORK IN PROGRESS)],DO$1,Table1[Output contribution 3],'Quant analysis'!$DI39)+COUNTIFS(Table1[Level of influence],"national",Table1[The Six Conditions of Systems Change (WORK IN PROGRESS)],DO$1,Table1[Output contribution 4],'Quant analysis'!$DI39)+COUNTIFS(Table1[Level of influence],"national",Table1[The Six Conditions of Systems Change (WORK IN PROGRESS)],DO$1,Table1[Output contribution 5],'Quant analysis'!$DI39)</f>
        <v>0</v>
      </c>
      <c r="DP39" s="19">
        <f>COUNTIFS(Table1[Level of influence],"subnational",Table1[The Six Conditions of Systems Change (WORK IN PROGRESS)],DP$1,Table1[Output contribution 1],'Quant analysis'!$DI39)+COUNTIFS(Table1[Level of influence],"subnational",Table1[The Six Conditions of Systems Change (WORK IN PROGRESS)],DP$1,Table1[Output contribution 2],'Quant analysis'!$DI39)+COUNTIFS(Table1[Level of influence],"subnational",Table1[The Six Conditions of Systems Change (WORK IN PROGRESS)],DP$1,Table1[Output contribution 3],'Quant analysis'!$DI39)+COUNTIFS(Table1[Level of influence],"subnational",Table1[The Six Conditions of Systems Change (WORK IN PROGRESS)],DP$1,Table1[Output contribution 4],'Quant analysis'!$DI39)+COUNTIFS(Table1[Level of influence],"subnational",Table1[The Six Conditions of Systems Change (WORK IN PROGRESS)],DP$1,Table1[Output contribution 5],'Quant analysis'!$DI39)+COUNTIFS(Table1[Level of influence],"national",Table1[The Six Conditions of Systems Change (WORK IN PROGRESS)],DP$1,Table1[Output contribution 1],'Quant analysis'!$DI39)+COUNTIFS(Table1[Level of influence],"national",Table1[The Six Conditions of Systems Change (WORK IN PROGRESS)],DP$1,Table1[Output contribution 2],'Quant analysis'!$DI39)+COUNTIFS(Table1[Level of influence],"national",Table1[The Six Conditions of Systems Change (WORK IN PROGRESS)],DP$1,Table1[Output contribution 3],'Quant analysis'!$DI39)+COUNTIFS(Table1[Level of influence],"national",Table1[The Six Conditions of Systems Change (WORK IN PROGRESS)],DP$1,Table1[Output contribution 4],'Quant analysis'!$DI39)+COUNTIFS(Table1[Level of influence],"national",Table1[The Six Conditions of Systems Change (WORK IN PROGRESS)],DP$1,Table1[Output contribution 5],'Quant analysis'!$DI39)</f>
        <v>0</v>
      </c>
      <c r="DQ39" s="130"/>
      <c r="DR39" s="130"/>
      <c r="DS39" s="132"/>
      <c r="DT39" s="130"/>
      <c r="DU39" s="130"/>
      <c r="DV39" s="130"/>
      <c r="DW39" s="130"/>
      <c r="DX39" s="130"/>
      <c r="DY39" s="130">
        <f>SUM(DT35:DY38)</f>
        <v>0</v>
      </c>
      <c r="DZ39" s="130"/>
      <c r="EA39" s="130"/>
      <c r="EB39" s="68"/>
      <c r="EC39" s="68" t="s">
        <v>6</v>
      </c>
      <c r="ED39" s="129">
        <f>SUM(EG23:EG24)</f>
        <v>0</v>
      </c>
      <c r="EE39" s="130"/>
      <c r="EF39" s="130"/>
      <c r="EG39" s="130"/>
      <c r="EH39" s="130"/>
      <c r="EI39" s="130"/>
      <c r="EJ39" s="130"/>
      <c r="EK39" s="130"/>
      <c r="EL39" s="130"/>
      <c r="EM39" s="68"/>
      <c r="EN39" s="68" t="s">
        <v>6</v>
      </c>
      <c r="EO39" s="129">
        <f>SUM(ER23:ER24)</f>
        <v>0</v>
      </c>
      <c r="EP39" s="130"/>
      <c r="EQ39" s="130"/>
      <c r="ER39" s="130"/>
      <c r="ES39" s="130"/>
      <c r="ET39" s="130"/>
      <c r="EU39" s="130"/>
      <c r="EV39" s="130"/>
      <c r="EW39" s="68"/>
      <c r="EX39" s="68" t="s">
        <v>6</v>
      </c>
      <c r="EY39" s="129">
        <f>SUM(FB23:FB24)</f>
        <v>0</v>
      </c>
      <c r="EZ39" s="130"/>
      <c r="FA39" s="130"/>
      <c r="FB39" s="130"/>
      <c r="FC39" s="130"/>
      <c r="FD39" s="130"/>
      <c r="FE39" s="130"/>
    </row>
    <row r="40" spans="33:161" x14ac:dyDescent="0.2">
      <c r="BT40" s="130"/>
      <c r="BU40" s="130"/>
      <c r="BV40" s="69">
        <f t="shared" ref="BV40:CE40" si="25">SUM(BV2:BV38)</f>
        <v>0</v>
      </c>
      <c r="BW40" s="18">
        <f t="shared" si="25"/>
        <v>0</v>
      </c>
      <c r="BX40" s="18">
        <f t="shared" si="25"/>
        <v>0</v>
      </c>
      <c r="BY40" s="18">
        <f t="shared" si="25"/>
        <v>0</v>
      </c>
      <c r="BZ40" s="18">
        <f t="shared" si="25"/>
        <v>0</v>
      </c>
      <c r="CA40" s="18">
        <f t="shared" si="25"/>
        <v>0</v>
      </c>
      <c r="CB40" s="106">
        <f t="shared" si="25"/>
        <v>0</v>
      </c>
      <c r="CC40" s="106">
        <f t="shared" si="25"/>
        <v>0</v>
      </c>
      <c r="CD40" s="106">
        <f t="shared" si="25"/>
        <v>0</v>
      </c>
      <c r="CE40" s="106">
        <f t="shared" si="25"/>
        <v>0</v>
      </c>
      <c r="CF40" s="130"/>
      <c r="CG40" s="130"/>
      <c r="CH40" s="130"/>
      <c r="CI40" s="130"/>
      <c r="CJ40" s="130"/>
      <c r="CK40" s="130"/>
      <c r="CL40" s="130"/>
      <c r="CM40" s="130"/>
      <c r="CN40" s="130"/>
      <c r="CO40" s="130"/>
      <c r="CP40" s="130"/>
      <c r="CQ40" s="130"/>
      <c r="CR40" s="130"/>
      <c r="CS40" s="130"/>
      <c r="CT40" s="130"/>
      <c r="CU40" s="130"/>
      <c r="CV40" s="131"/>
      <c r="CW40" s="68"/>
      <c r="CX40" s="68" t="s">
        <v>5</v>
      </c>
      <c r="CY40" s="129">
        <f>SUM(DA20:DA22,DA29:DA31)</f>
        <v>0</v>
      </c>
      <c r="CZ40" s="130"/>
      <c r="DA40" s="130"/>
      <c r="DB40" s="130"/>
      <c r="DC40" s="130"/>
      <c r="DD40" s="130"/>
      <c r="DE40" s="130"/>
      <c r="DF40" s="130"/>
      <c r="DG40" s="130"/>
      <c r="DH40" s="130"/>
      <c r="DI40" s="130"/>
      <c r="DJ40" s="69">
        <f>SUM(DJ2:DJ39)</f>
        <v>0</v>
      </c>
      <c r="DK40" s="18">
        <f>SUM(DK2:DK39)</f>
        <v>0</v>
      </c>
      <c r="DL40" s="18">
        <f t="shared" ref="DL40:DP40" si="26">SUM(DL2:DL39)</f>
        <v>0</v>
      </c>
      <c r="DM40" s="18">
        <f t="shared" si="26"/>
        <v>0</v>
      </c>
      <c r="DN40" s="18">
        <f t="shared" si="26"/>
        <v>0</v>
      </c>
      <c r="DO40" s="18">
        <f t="shared" si="26"/>
        <v>0</v>
      </c>
      <c r="DP40" s="18">
        <f t="shared" si="26"/>
        <v>0</v>
      </c>
      <c r="DQ40" s="130">
        <f>SUM(DK40:DP40)</f>
        <v>0</v>
      </c>
      <c r="DR40" s="130"/>
      <c r="DS40" s="132"/>
      <c r="DT40" s="130"/>
      <c r="DU40" s="130"/>
      <c r="DV40" s="130"/>
      <c r="DW40" s="130"/>
      <c r="DX40" s="130"/>
      <c r="DY40" s="130"/>
      <c r="DZ40" s="130"/>
      <c r="EA40" s="130"/>
      <c r="EB40" s="68"/>
      <c r="EC40" s="68" t="s">
        <v>7</v>
      </c>
      <c r="ED40" s="129">
        <f>SUM(EH23:EH24)</f>
        <v>0</v>
      </c>
      <c r="EE40" s="130"/>
      <c r="EF40" s="130"/>
      <c r="EG40" s="130"/>
      <c r="EH40" s="130"/>
      <c r="EI40" s="130"/>
      <c r="EJ40" s="130"/>
      <c r="EK40" s="130"/>
      <c r="EL40" s="130"/>
      <c r="EM40" s="68"/>
      <c r="EN40" s="68" t="s">
        <v>7</v>
      </c>
      <c r="EO40" s="129">
        <f>SUM(ES23:ES24)</f>
        <v>0</v>
      </c>
      <c r="EP40" s="130"/>
      <c r="EQ40" s="130"/>
      <c r="ER40" s="130"/>
      <c r="ES40" s="130"/>
      <c r="ET40" s="130"/>
      <c r="EU40" s="130"/>
      <c r="EV40" s="130"/>
      <c r="EW40" s="68"/>
      <c r="EX40" s="68" t="s">
        <v>7</v>
      </c>
      <c r="EY40" s="129">
        <f>SUM(FC23:FC24)</f>
        <v>0</v>
      </c>
      <c r="EZ40" s="130"/>
      <c r="FA40" s="130"/>
      <c r="FB40" s="130"/>
      <c r="FC40" s="130"/>
      <c r="FD40" s="130"/>
      <c r="FE40" s="130"/>
    </row>
    <row r="41" spans="33:161" x14ac:dyDescent="0.2">
      <c r="BT41" s="130"/>
      <c r="BU41" s="130"/>
      <c r="BV41" s="107"/>
      <c r="BW41" s="130"/>
      <c r="BX41" s="130"/>
      <c r="BY41" s="130"/>
      <c r="BZ41" s="130"/>
      <c r="CA41" s="130"/>
      <c r="CB41" s="130"/>
      <c r="CC41" s="130"/>
      <c r="CD41" s="130"/>
      <c r="CE41" s="130">
        <f>SUM(BW40:CE40)</f>
        <v>0</v>
      </c>
      <c r="CF41" s="130"/>
      <c r="CG41" s="130"/>
      <c r="CH41" s="130"/>
      <c r="CI41" s="130"/>
      <c r="CJ41" s="130"/>
      <c r="CK41" s="130"/>
      <c r="CL41" s="130"/>
      <c r="CM41" s="130"/>
      <c r="CN41" s="130"/>
      <c r="CO41" s="130"/>
      <c r="CP41" s="130"/>
      <c r="CQ41" s="130"/>
      <c r="CR41" s="130"/>
      <c r="CS41" s="130"/>
      <c r="CT41" s="130"/>
      <c r="CU41" s="130"/>
      <c r="CV41" s="131"/>
      <c r="CW41" s="68"/>
      <c r="CX41" s="68" t="s">
        <v>6</v>
      </c>
      <c r="CY41" s="129">
        <f>SUM(DB20:DB22,DB29:DB31)</f>
        <v>0</v>
      </c>
      <c r="CZ41" s="130"/>
      <c r="DA41" s="130"/>
      <c r="DB41" s="130"/>
      <c r="DC41" s="130"/>
      <c r="DD41" s="130"/>
      <c r="DE41" s="130"/>
      <c r="DF41" s="130"/>
      <c r="DG41" s="130"/>
      <c r="DH41" s="130"/>
      <c r="DI41" s="130"/>
      <c r="DJ41" s="107"/>
      <c r="DK41" s="130"/>
      <c r="DL41" s="130"/>
      <c r="DM41" s="130"/>
      <c r="DN41" s="130"/>
      <c r="DO41" s="130"/>
      <c r="DP41" s="130"/>
      <c r="DQ41" s="130"/>
      <c r="DR41" s="130"/>
      <c r="DS41" s="132"/>
      <c r="DT41" s="130"/>
      <c r="DU41" s="130"/>
      <c r="DV41" s="130"/>
      <c r="DW41" s="130"/>
      <c r="DX41" s="130"/>
      <c r="DY41" s="130"/>
      <c r="DZ41" s="130"/>
      <c r="EA41" s="130"/>
      <c r="EB41" s="68"/>
      <c r="EC41" s="68" t="s">
        <v>271</v>
      </c>
      <c r="ED41" s="129">
        <f>SUM(EI23:EI24)</f>
        <v>0</v>
      </c>
      <c r="EE41" s="130"/>
      <c r="EF41" s="130"/>
      <c r="EG41" s="130"/>
      <c r="EH41" s="130"/>
      <c r="EI41" s="130"/>
      <c r="EJ41" s="130"/>
      <c r="EK41" s="130"/>
      <c r="EL41" s="130"/>
      <c r="EM41" s="68"/>
      <c r="EN41" s="68" t="s">
        <v>271</v>
      </c>
      <c r="EO41" s="129">
        <f>SUM(ET23:ET24)</f>
        <v>0</v>
      </c>
      <c r="EP41" s="130"/>
      <c r="EQ41" s="130"/>
      <c r="ER41" s="130"/>
      <c r="ES41" s="130"/>
      <c r="ET41" s="130"/>
      <c r="EU41" s="130"/>
      <c r="EV41" s="130"/>
      <c r="EW41" s="68"/>
      <c r="EX41" s="68" t="s">
        <v>271</v>
      </c>
      <c r="EY41" s="129">
        <f>SUM(FD23:FD24)</f>
        <v>0</v>
      </c>
      <c r="EZ41" s="130"/>
      <c r="FA41" s="130"/>
      <c r="FB41" s="130"/>
      <c r="FC41" s="130"/>
      <c r="FD41" s="130"/>
      <c r="FE41" s="130"/>
    </row>
    <row r="42" spans="33:161" x14ac:dyDescent="0.2">
      <c r="BT42" s="130"/>
      <c r="BU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1"/>
      <c r="CW42" s="68"/>
      <c r="CX42" s="68" t="s">
        <v>7</v>
      </c>
      <c r="CY42" s="129">
        <f>SUM(DC20:DC22,DC29:DC31)</f>
        <v>0</v>
      </c>
      <c r="CZ42" s="130"/>
      <c r="DA42" s="130"/>
      <c r="DB42" s="130"/>
      <c r="DC42" s="130"/>
      <c r="DD42" s="130"/>
      <c r="DE42" s="130"/>
      <c r="DF42" s="130"/>
      <c r="DG42" s="130"/>
      <c r="DH42" s="129"/>
      <c r="DI42" s="68" t="s">
        <v>9</v>
      </c>
      <c r="DJ42" s="68" t="s">
        <v>11</v>
      </c>
      <c r="DK42" s="68" t="s">
        <v>13</v>
      </c>
      <c r="DL42" s="68" t="s">
        <v>12</v>
      </c>
      <c r="DM42" s="68" t="s">
        <v>10</v>
      </c>
      <c r="DN42" s="68" t="s">
        <v>8</v>
      </c>
      <c r="DO42" s="130"/>
      <c r="DP42" s="130"/>
      <c r="DQ42" s="130"/>
      <c r="DR42" s="130"/>
      <c r="DS42" s="132"/>
      <c r="DT42" s="130"/>
      <c r="DU42" s="130"/>
      <c r="DV42" s="130"/>
      <c r="DW42" s="130"/>
      <c r="DX42" s="130"/>
      <c r="DY42" s="130"/>
      <c r="DZ42" s="130"/>
      <c r="EA42" s="130"/>
      <c r="EB42" s="68" t="s">
        <v>264</v>
      </c>
      <c r="EC42" s="68" t="s">
        <v>2</v>
      </c>
      <c r="ED42" s="129">
        <f>EC25</f>
        <v>0</v>
      </c>
      <c r="EE42" s="130"/>
      <c r="EF42" s="130"/>
      <c r="EG42" s="130"/>
      <c r="EH42" s="130"/>
      <c r="EI42" s="130"/>
      <c r="EJ42" s="130"/>
      <c r="EK42" s="130"/>
      <c r="EL42" s="130"/>
      <c r="EM42" s="68" t="s">
        <v>264</v>
      </c>
      <c r="EN42" s="68" t="s">
        <v>2</v>
      </c>
      <c r="EO42" s="129">
        <f>EN25</f>
        <v>0</v>
      </c>
      <c r="EP42" s="130"/>
      <c r="EQ42" s="130"/>
      <c r="ER42" s="130"/>
      <c r="ES42" s="130"/>
      <c r="ET42" s="130"/>
      <c r="EU42" s="130"/>
      <c r="EV42" s="130"/>
      <c r="EW42" s="68" t="s">
        <v>264</v>
      </c>
      <c r="EX42" s="68" t="s">
        <v>2</v>
      </c>
      <c r="EY42" s="129">
        <f>EX25</f>
        <v>0</v>
      </c>
      <c r="EZ42" s="130"/>
      <c r="FA42" s="130"/>
      <c r="FB42" s="130"/>
      <c r="FC42" s="130"/>
      <c r="FD42" s="130"/>
      <c r="FE42" s="130"/>
    </row>
    <row r="43" spans="33:161" x14ac:dyDescent="0.2">
      <c r="BT43" s="130"/>
      <c r="BU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1"/>
      <c r="CW43" s="68"/>
      <c r="CX43" s="68" t="s">
        <v>271</v>
      </c>
      <c r="CY43" s="129">
        <f>SUM(DD29:DD31,DD20:DD22)</f>
        <v>0</v>
      </c>
      <c r="CZ43" s="130"/>
      <c r="DA43" s="130"/>
      <c r="DB43" s="130"/>
      <c r="DC43" s="130"/>
      <c r="DD43" s="130"/>
      <c r="DE43" s="130"/>
      <c r="DF43" s="130"/>
      <c r="DG43" s="130"/>
      <c r="DH43" s="129" t="s">
        <v>223</v>
      </c>
      <c r="DI43" s="129">
        <f>CZ2</f>
        <v>0</v>
      </c>
      <c r="DJ43" s="129">
        <f>CZ3</f>
        <v>0</v>
      </c>
      <c r="DK43" s="129">
        <f>CZ4</f>
        <v>0</v>
      </c>
      <c r="DL43" s="129">
        <f>CZ5</f>
        <v>0</v>
      </c>
      <c r="DM43" s="129">
        <f>CZ6</f>
        <v>0</v>
      </c>
      <c r="DN43" s="129">
        <f>CZ7</f>
        <v>0</v>
      </c>
      <c r="DO43" s="130">
        <f>SUM(DI43:DN43)</f>
        <v>0</v>
      </c>
      <c r="DP43" s="130"/>
      <c r="DQ43" s="130"/>
      <c r="DR43" s="130"/>
      <c r="DS43" s="132"/>
      <c r="DT43" s="130"/>
      <c r="DU43" s="130"/>
      <c r="DV43" s="130"/>
      <c r="DW43" s="130"/>
      <c r="DX43" s="130"/>
      <c r="DY43" s="130"/>
      <c r="DZ43" s="130"/>
      <c r="EA43" s="130"/>
      <c r="EB43" s="68"/>
      <c r="EC43" s="68" t="s">
        <v>3</v>
      </c>
      <c r="ED43" s="129">
        <f>ED25</f>
        <v>0</v>
      </c>
      <c r="EE43" s="130"/>
      <c r="EF43" s="130"/>
      <c r="EG43" s="130"/>
      <c r="EH43" s="130"/>
      <c r="EI43" s="130"/>
      <c r="EJ43" s="130"/>
      <c r="EK43" s="130"/>
      <c r="EL43" s="130"/>
      <c r="EM43" s="68"/>
      <c r="EN43" s="68" t="s">
        <v>3</v>
      </c>
      <c r="EO43" s="129">
        <f>EO25</f>
        <v>0</v>
      </c>
      <c r="EP43" s="130"/>
      <c r="EQ43" s="130"/>
      <c r="ER43" s="130"/>
      <c r="ES43" s="130"/>
      <c r="ET43" s="130"/>
      <c r="EU43" s="130"/>
      <c r="EV43" s="130"/>
      <c r="EW43" s="68"/>
      <c r="EX43" s="68" t="s">
        <v>3</v>
      </c>
      <c r="EY43" s="129">
        <f>EY25</f>
        <v>0</v>
      </c>
      <c r="EZ43" s="130"/>
      <c r="FA43" s="130"/>
      <c r="FB43" s="130"/>
      <c r="FC43" s="130"/>
      <c r="FD43" s="130"/>
      <c r="FE43" s="130"/>
    </row>
    <row r="44" spans="33:161" x14ac:dyDescent="0.2">
      <c r="BT44" s="130"/>
      <c r="BU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1"/>
      <c r="CW44" s="68" t="s">
        <v>261</v>
      </c>
      <c r="CX44" s="68" t="s">
        <v>2</v>
      </c>
      <c r="CY44" s="129">
        <f>SUM(CX23:CX24,CX32:CX33)</f>
        <v>0</v>
      </c>
      <c r="CZ44" s="130"/>
      <c r="DA44" s="130"/>
      <c r="DB44" s="130"/>
      <c r="DC44" s="130"/>
      <c r="DD44" s="130"/>
      <c r="DE44" s="130"/>
      <c r="DF44" s="130"/>
      <c r="DG44" s="130"/>
      <c r="DH44" s="129" t="s">
        <v>298</v>
      </c>
      <c r="DI44" s="129">
        <v>0</v>
      </c>
      <c r="DJ44" s="129">
        <f t="shared" ref="DJ44:DN44" si="27">DL2+DL3</f>
        <v>0</v>
      </c>
      <c r="DK44" s="129">
        <f t="shared" si="27"/>
        <v>0</v>
      </c>
      <c r="DL44" s="129">
        <f t="shared" si="27"/>
        <v>0</v>
      </c>
      <c r="DM44" s="129">
        <f t="shared" si="27"/>
        <v>0</v>
      </c>
      <c r="DN44" s="129">
        <f t="shared" si="27"/>
        <v>0</v>
      </c>
      <c r="DO44" s="130">
        <f t="shared" ref="DO44:DO59" si="28">SUM(DI44:DN44)</f>
        <v>0</v>
      </c>
      <c r="DP44" s="130"/>
      <c r="DQ44" s="130"/>
      <c r="DR44" s="130"/>
      <c r="DS44" s="132"/>
      <c r="DT44" s="130"/>
      <c r="DU44" s="130"/>
      <c r="DV44" s="130"/>
      <c r="DW44" s="130"/>
      <c r="DX44" s="130"/>
      <c r="DY44" s="130"/>
      <c r="DZ44" s="130"/>
      <c r="EA44" s="130"/>
      <c r="EB44" s="68"/>
      <c r="EC44" s="68" t="s">
        <v>4</v>
      </c>
      <c r="ED44" s="129">
        <f>EE25</f>
        <v>0</v>
      </c>
      <c r="EE44" s="130"/>
      <c r="EF44" s="130"/>
      <c r="EG44" s="130"/>
      <c r="EH44" s="130"/>
      <c r="EI44" s="130"/>
      <c r="EJ44" s="130"/>
      <c r="EK44" s="130"/>
      <c r="EL44" s="130"/>
      <c r="EM44" s="68"/>
      <c r="EN44" s="68" t="s">
        <v>4</v>
      </c>
      <c r="EO44" s="129">
        <f>EP25</f>
        <v>0</v>
      </c>
      <c r="EP44" s="130"/>
      <c r="EQ44" s="130"/>
      <c r="ER44" s="130"/>
      <c r="ES44" s="130"/>
      <c r="ET44" s="130"/>
      <c r="EU44" s="130"/>
      <c r="EV44" s="130"/>
      <c r="EW44" s="68"/>
      <c r="EX44" s="68" t="s">
        <v>4</v>
      </c>
      <c r="EY44" s="129">
        <f>EZ25</f>
        <v>0</v>
      </c>
      <c r="EZ44" s="130"/>
      <c r="FA44" s="130"/>
      <c r="FB44" s="130"/>
      <c r="FC44" s="130"/>
      <c r="FD44" s="130"/>
      <c r="FE44" s="130"/>
    </row>
    <row r="45" spans="33:161" x14ac:dyDescent="0.2">
      <c r="BT45" s="130"/>
      <c r="BU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1"/>
      <c r="CW45" s="68"/>
      <c r="CX45" s="68" t="s">
        <v>3</v>
      </c>
      <c r="CY45" s="129">
        <f>SUM(CY23:CY24,CY32:CY33)</f>
        <v>0</v>
      </c>
      <c r="CZ45" s="130"/>
      <c r="DA45" s="130"/>
      <c r="DB45" s="130"/>
      <c r="DC45" s="130"/>
      <c r="DD45" s="130"/>
      <c r="DE45" s="130"/>
      <c r="DF45" s="130"/>
      <c r="DG45" s="130"/>
      <c r="DH45" s="129" t="s">
        <v>299</v>
      </c>
      <c r="DI45" s="129">
        <f t="shared" ref="DI45:DN45" si="29">DK4+DK5+DK6</f>
        <v>0</v>
      </c>
      <c r="DJ45" s="129">
        <f t="shared" si="29"/>
        <v>0</v>
      </c>
      <c r="DK45" s="129">
        <f t="shared" si="29"/>
        <v>0</v>
      </c>
      <c r="DL45" s="129">
        <f t="shared" si="29"/>
        <v>0</v>
      </c>
      <c r="DM45" s="129">
        <f t="shared" si="29"/>
        <v>0</v>
      </c>
      <c r="DN45" s="129">
        <f t="shared" si="29"/>
        <v>0</v>
      </c>
      <c r="DO45" s="130">
        <f t="shared" si="28"/>
        <v>0</v>
      </c>
      <c r="DP45" s="130"/>
      <c r="DQ45" s="130"/>
      <c r="DR45" s="130"/>
      <c r="DS45" s="132"/>
      <c r="DT45" s="130"/>
      <c r="DU45" s="130"/>
      <c r="DV45" s="130"/>
      <c r="DW45" s="130"/>
      <c r="DX45" s="130"/>
      <c r="DY45" s="130"/>
      <c r="DZ45" s="130"/>
      <c r="EA45" s="130"/>
      <c r="EB45" s="68"/>
      <c r="EC45" s="68" t="s">
        <v>5</v>
      </c>
      <c r="ED45" s="129">
        <f>EF25</f>
        <v>0</v>
      </c>
      <c r="EE45" s="130"/>
      <c r="EF45" s="130"/>
      <c r="EG45" s="130"/>
      <c r="EH45" s="130"/>
      <c r="EI45" s="130"/>
      <c r="EJ45" s="130"/>
      <c r="EK45" s="130"/>
      <c r="EL45" s="130"/>
      <c r="EM45" s="68"/>
      <c r="EN45" s="68" t="s">
        <v>5</v>
      </c>
      <c r="EO45" s="129">
        <f>EQ25</f>
        <v>0</v>
      </c>
      <c r="EP45" s="130"/>
      <c r="EQ45" s="130"/>
      <c r="ER45" s="130"/>
      <c r="ES45" s="130"/>
      <c r="ET45" s="130"/>
      <c r="EU45" s="130"/>
      <c r="EV45" s="130"/>
      <c r="EW45" s="68"/>
      <c r="EX45" s="68" t="s">
        <v>5</v>
      </c>
      <c r="EY45" s="129">
        <f>FA25</f>
        <v>0</v>
      </c>
      <c r="EZ45" s="130"/>
      <c r="FA45" s="130"/>
      <c r="FB45" s="130"/>
      <c r="FC45" s="130"/>
      <c r="FD45" s="130"/>
      <c r="FE45" s="130"/>
    </row>
    <row r="46" spans="33:161" x14ac:dyDescent="0.2">
      <c r="BT46" s="130"/>
      <c r="BU46" s="130"/>
      <c r="BW46" s="130"/>
      <c r="BX46" s="130"/>
      <c r="BY46" s="130"/>
      <c r="BZ46" s="130"/>
      <c r="CA46" s="130"/>
      <c r="CB46" s="130"/>
      <c r="CC46" s="130"/>
      <c r="CD46" s="130"/>
      <c r="CE46" s="130"/>
      <c r="CF46" s="130"/>
      <c r="CG46" s="130"/>
      <c r="CH46" s="130"/>
      <c r="CI46" s="130"/>
      <c r="CJ46" s="130"/>
      <c r="CK46" s="130"/>
      <c r="CL46" s="130"/>
      <c r="CM46" s="130"/>
      <c r="CN46" s="130"/>
      <c r="CO46" s="130"/>
      <c r="CP46" s="130"/>
      <c r="CQ46" s="130"/>
      <c r="CR46" s="130"/>
      <c r="CS46" s="130"/>
      <c r="CT46" s="130"/>
      <c r="CU46" s="130"/>
      <c r="CV46" s="131"/>
      <c r="CW46" s="68"/>
      <c r="CX46" s="68" t="s">
        <v>4</v>
      </c>
      <c r="CY46" s="129">
        <f>SUM(CZ23:CZ24,CZ32:CZ33)</f>
        <v>0</v>
      </c>
      <c r="CZ46" s="130"/>
      <c r="DA46" s="130"/>
      <c r="DB46" s="130"/>
      <c r="DC46" s="130"/>
      <c r="DD46" s="130"/>
      <c r="DE46" s="130"/>
      <c r="DF46" s="130"/>
      <c r="DG46" s="130"/>
      <c r="DH46" s="129" t="s">
        <v>300</v>
      </c>
      <c r="DI46" s="129">
        <f t="shared" ref="DI46:DN46" si="30">DK37</f>
        <v>0</v>
      </c>
      <c r="DJ46" s="129">
        <f t="shared" si="30"/>
        <v>0</v>
      </c>
      <c r="DK46" s="129">
        <f t="shared" si="30"/>
        <v>0</v>
      </c>
      <c r="DL46" s="129">
        <f t="shared" si="30"/>
        <v>0</v>
      </c>
      <c r="DM46" s="129">
        <f t="shared" si="30"/>
        <v>0</v>
      </c>
      <c r="DN46" s="129">
        <f t="shared" si="30"/>
        <v>0</v>
      </c>
      <c r="DO46" s="130">
        <f t="shared" si="28"/>
        <v>0</v>
      </c>
      <c r="DP46" s="130"/>
      <c r="DQ46" s="130"/>
      <c r="DR46" s="130"/>
      <c r="DS46" s="132"/>
      <c r="DT46" s="130"/>
      <c r="DU46" s="130"/>
      <c r="DV46" s="130"/>
      <c r="DW46" s="130"/>
      <c r="DX46" s="130"/>
      <c r="DY46" s="130"/>
      <c r="DZ46" s="130"/>
      <c r="EA46" s="130"/>
      <c r="EB46" s="68"/>
      <c r="EC46" s="68" t="s">
        <v>6</v>
      </c>
      <c r="ED46" s="129">
        <f>EG25</f>
        <v>0</v>
      </c>
      <c r="EE46" s="130"/>
      <c r="EF46" s="130"/>
      <c r="EG46" s="130"/>
      <c r="EH46" s="130"/>
      <c r="EI46" s="130"/>
      <c r="EJ46" s="130"/>
      <c r="EK46" s="130"/>
      <c r="EL46" s="130"/>
      <c r="EM46" s="68"/>
      <c r="EN46" s="68" t="s">
        <v>6</v>
      </c>
      <c r="EO46" s="129">
        <f>ER25</f>
        <v>0</v>
      </c>
      <c r="EP46" s="130"/>
      <c r="EQ46" s="130"/>
      <c r="ER46" s="130"/>
      <c r="ES46" s="130"/>
      <c r="ET46" s="130"/>
      <c r="EU46" s="130"/>
      <c r="EV46" s="130"/>
      <c r="EW46" s="68"/>
      <c r="EX46" s="68" t="s">
        <v>6</v>
      </c>
      <c r="EY46" s="129">
        <f>FB25</f>
        <v>0</v>
      </c>
      <c r="EZ46" s="130"/>
      <c r="FA46" s="130"/>
      <c r="FB46" s="130"/>
      <c r="FC46" s="130"/>
      <c r="FD46" s="130"/>
      <c r="FE46" s="130"/>
    </row>
    <row r="47" spans="33:161" x14ac:dyDescent="0.2">
      <c r="BT47" s="130"/>
      <c r="BU47" s="130"/>
      <c r="BW47" s="130"/>
      <c r="BX47" s="130"/>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1"/>
      <c r="CW47" s="68"/>
      <c r="CX47" s="68" t="s">
        <v>5</v>
      </c>
      <c r="CY47" s="129">
        <f>SUM(DA23:DA24,DA32:DA33)</f>
        <v>0</v>
      </c>
      <c r="CZ47" s="130"/>
      <c r="DA47" s="130"/>
      <c r="DB47" s="130"/>
      <c r="DC47" s="130"/>
      <c r="DD47" s="130"/>
      <c r="DE47" s="130"/>
      <c r="DF47" s="130"/>
      <c r="DG47" s="130"/>
      <c r="DH47" s="129" t="s">
        <v>301</v>
      </c>
      <c r="DI47" s="129">
        <f t="shared" ref="DI47:DN47" si="31">SUM(DK19:DK23)</f>
        <v>0</v>
      </c>
      <c r="DJ47" s="129">
        <f t="shared" si="31"/>
        <v>0</v>
      </c>
      <c r="DK47" s="129">
        <f t="shared" si="31"/>
        <v>0</v>
      </c>
      <c r="DL47" s="129">
        <f t="shared" si="31"/>
        <v>0</v>
      </c>
      <c r="DM47" s="129">
        <f t="shared" si="31"/>
        <v>0</v>
      </c>
      <c r="DN47" s="129">
        <f t="shared" si="31"/>
        <v>0</v>
      </c>
      <c r="DO47" s="130">
        <f t="shared" si="28"/>
        <v>0</v>
      </c>
      <c r="DP47" s="130"/>
      <c r="DQ47" s="130"/>
      <c r="DR47" s="130"/>
      <c r="DS47" s="132"/>
      <c r="DT47" s="130"/>
      <c r="DU47" s="130"/>
      <c r="DV47" s="130"/>
      <c r="DW47" s="130"/>
      <c r="DX47" s="130"/>
      <c r="DY47" s="130"/>
      <c r="DZ47" s="130"/>
      <c r="EA47" s="130"/>
      <c r="EB47" s="68"/>
      <c r="EC47" s="68" t="s">
        <v>7</v>
      </c>
      <c r="ED47" s="129">
        <f>EH25</f>
        <v>0</v>
      </c>
      <c r="EE47" s="130"/>
      <c r="EF47" s="130"/>
      <c r="EG47" s="130"/>
      <c r="EH47" s="130"/>
      <c r="EI47" s="130"/>
      <c r="EJ47" s="130"/>
      <c r="EK47" s="130"/>
      <c r="EL47" s="130"/>
      <c r="EM47" s="68"/>
      <c r="EN47" s="68" t="s">
        <v>7</v>
      </c>
      <c r="EO47" s="129">
        <f>ES25</f>
        <v>0</v>
      </c>
      <c r="EP47" s="130"/>
      <c r="EQ47" s="130"/>
      <c r="ER47" s="130"/>
      <c r="ES47" s="130"/>
      <c r="ET47" s="130"/>
      <c r="EU47" s="130"/>
      <c r="EV47" s="130"/>
      <c r="EW47" s="68"/>
      <c r="EX47" s="68" t="s">
        <v>7</v>
      </c>
      <c r="EY47" s="129">
        <f>FC25</f>
        <v>0</v>
      </c>
      <c r="EZ47" s="130"/>
      <c r="FA47" s="130"/>
      <c r="FB47" s="130"/>
      <c r="FC47" s="130"/>
      <c r="FD47" s="130"/>
      <c r="FE47" s="130"/>
    </row>
    <row r="48" spans="33:161" x14ac:dyDescent="0.2">
      <c r="BT48" s="130"/>
      <c r="BU48" s="130"/>
      <c r="BW48" s="130"/>
      <c r="BX48" s="130"/>
      <c r="BY48" s="130"/>
      <c r="BZ48" s="130"/>
      <c r="CA48" s="130"/>
      <c r="CB48" s="130"/>
      <c r="CC48" s="130"/>
      <c r="CD48" s="130"/>
      <c r="CE48" s="130"/>
      <c r="CF48" s="130"/>
      <c r="CG48" s="130"/>
      <c r="CH48" s="130"/>
      <c r="CI48" s="130"/>
      <c r="CJ48" s="130"/>
      <c r="CK48" s="130"/>
      <c r="CL48" s="130"/>
      <c r="CM48" s="130"/>
      <c r="CN48" s="130"/>
      <c r="CO48" s="130"/>
      <c r="CP48" s="130"/>
      <c r="CQ48" s="130"/>
      <c r="CR48" s="130"/>
      <c r="CS48" s="130"/>
      <c r="CT48" s="130"/>
      <c r="CU48" s="130"/>
      <c r="CV48" s="131"/>
      <c r="CW48" s="68"/>
      <c r="CX48" s="68" t="s">
        <v>6</v>
      </c>
      <c r="CY48" s="129">
        <f>SUM(DB23:DB24,DB32:DB33)</f>
        <v>0</v>
      </c>
      <c r="CZ48" s="130"/>
      <c r="DA48" s="130"/>
      <c r="DB48" s="130"/>
      <c r="DC48" s="130"/>
      <c r="DD48" s="130"/>
      <c r="DE48" s="130"/>
      <c r="DF48" s="130"/>
      <c r="DG48" s="130"/>
      <c r="DH48" s="129" t="s">
        <v>302</v>
      </c>
      <c r="DI48" s="129">
        <f t="shared" ref="DI48:DN48" si="32">DK31+DK38</f>
        <v>0</v>
      </c>
      <c r="DJ48" s="129">
        <f t="shared" si="32"/>
        <v>0</v>
      </c>
      <c r="DK48" s="129">
        <f t="shared" si="32"/>
        <v>0</v>
      </c>
      <c r="DL48" s="129">
        <f t="shared" si="32"/>
        <v>0</v>
      </c>
      <c r="DM48" s="129">
        <f t="shared" si="32"/>
        <v>0</v>
      </c>
      <c r="DN48" s="129">
        <f t="shared" si="32"/>
        <v>0</v>
      </c>
      <c r="DO48" s="130">
        <f t="shared" si="28"/>
        <v>0</v>
      </c>
      <c r="DP48" s="130"/>
      <c r="DQ48" s="130"/>
      <c r="DR48" s="130"/>
      <c r="DS48" s="132"/>
      <c r="DT48" s="130"/>
      <c r="DU48" s="130"/>
      <c r="DV48" s="130"/>
      <c r="DW48" s="130"/>
      <c r="DX48" s="130"/>
      <c r="DY48" s="130"/>
      <c r="DZ48" s="130"/>
      <c r="EA48" s="130"/>
      <c r="EB48" s="68"/>
      <c r="EC48" s="68" t="s">
        <v>271</v>
      </c>
      <c r="ED48" s="129">
        <f>EI25</f>
        <v>0</v>
      </c>
      <c r="EE48" s="130"/>
      <c r="EF48" s="130"/>
      <c r="EG48" s="130"/>
      <c r="EH48" s="130"/>
      <c r="EI48" s="130"/>
      <c r="EJ48" s="130"/>
      <c r="EK48" s="130"/>
      <c r="EL48" s="130"/>
      <c r="EM48" s="68"/>
      <c r="EN48" s="68" t="s">
        <v>271</v>
      </c>
      <c r="EO48" s="129">
        <f>ET25</f>
        <v>0</v>
      </c>
      <c r="EP48" s="130"/>
      <c r="EQ48" s="130"/>
      <c r="ER48" s="130"/>
      <c r="ES48" s="130"/>
      <c r="ET48" s="130"/>
      <c r="EU48" s="130"/>
      <c r="EV48" s="130"/>
      <c r="EW48" s="68"/>
      <c r="EX48" s="68" t="s">
        <v>271</v>
      </c>
      <c r="EY48" s="129">
        <f>FD25</f>
        <v>0</v>
      </c>
      <c r="EZ48" s="130"/>
      <c r="FA48" s="130"/>
      <c r="FB48" s="130"/>
      <c r="FC48" s="130"/>
      <c r="FD48" s="130"/>
      <c r="FE48" s="130"/>
    </row>
    <row r="49" spans="101:161" x14ac:dyDescent="0.2">
      <c r="CW49" s="68"/>
      <c r="CX49" s="68" t="s">
        <v>7</v>
      </c>
      <c r="CY49" s="129">
        <f>SUM(DC23:DC24,DC32:DC33)</f>
        <v>0</v>
      </c>
      <c r="CZ49" s="130"/>
      <c r="DA49" s="130"/>
      <c r="DB49" s="130"/>
      <c r="DC49" s="130"/>
      <c r="DD49" s="130"/>
      <c r="DE49" s="130"/>
      <c r="DF49" s="130"/>
      <c r="DG49" s="130"/>
      <c r="DH49" s="129" t="s">
        <v>303</v>
      </c>
      <c r="DI49" s="129">
        <f t="shared" ref="DI49:DN49" si="33">SUM(DK7:DK9)</f>
        <v>0</v>
      </c>
      <c r="DJ49" s="129">
        <f t="shared" si="33"/>
        <v>0</v>
      </c>
      <c r="DK49" s="129">
        <f t="shared" si="33"/>
        <v>0</v>
      </c>
      <c r="DL49" s="129">
        <f t="shared" si="33"/>
        <v>0</v>
      </c>
      <c r="DM49" s="129">
        <f t="shared" si="33"/>
        <v>0</v>
      </c>
      <c r="DN49" s="129">
        <f t="shared" si="33"/>
        <v>0</v>
      </c>
      <c r="DO49" s="130">
        <f t="shared" si="28"/>
        <v>0</v>
      </c>
      <c r="DP49" s="130"/>
      <c r="DQ49" s="130"/>
      <c r="DR49" s="130"/>
      <c r="DS49" s="130"/>
      <c r="DT49" s="130"/>
      <c r="DU49" s="130"/>
      <c r="DV49" s="130"/>
      <c r="DW49" s="130"/>
      <c r="DX49" s="130"/>
      <c r="DY49" s="130"/>
      <c r="DZ49" s="130"/>
      <c r="EA49" s="130"/>
      <c r="EB49" s="129"/>
      <c r="EC49" s="129"/>
      <c r="ED49" s="129">
        <f>SUM(ED28:ED48)</f>
        <v>0</v>
      </c>
      <c r="EE49" s="130"/>
      <c r="EF49" s="130"/>
      <c r="EG49" s="130"/>
      <c r="EH49" s="130"/>
      <c r="EI49" s="130"/>
      <c r="EJ49" s="130"/>
      <c r="EK49" s="130"/>
      <c r="EL49" s="130"/>
      <c r="EM49" s="129"/>
      <c r="EN49" s="129"/>
      <c r="EO49" s="129">
        <f>SUM(EO28:EO48)</f>
        <v>0</v>
      </c>
      <c r="EP49" s="130"/>
      <c r="EQ49" s="130"/>
      <c r="ER49" s="130"/>
      <c r="ES49" s="130"/>
      <c r="ET49" s="130"/>
      <c r="EU49" s="130"/>
      <c r="EV49" s="130"/>
      <c r="EW49" s="129"/>
      <c r="EX49" s="129"/>
      <c r="EY49" s="129">
        <f>SUM(EY28:EY48)</f>
        <v>0</v>
      </c>
      <c r="EZ49" s="130"/>
      <c r="FA49" s="130"/>
      <c r="FB49" s="130"/>
      <c r="FC49" s="130"/>
      <c r="FD49" s="130"/>
      <c r="FE49" s="130"/>
    </row>
    <row r="50" spans="101:161" x14ac:dyDescent="0.2">
      <c r="CW50" s="68"/>
      <c r="CX50" s="68" t="s">
        <v>271</v>
      </c>
      <c r="CY50" s="129">
        <f>SUM(DD23:DD24,DD32:DD33)</f>
        <v>0</v>
      </c>
      <c r="CZ50" s="130"/>
      <c r="DA50" s="130"/>
      <c r="DB50" s="130"/>
      <c r="DC50" s="130"/>
      <c r="DD50" s="130"/>
      <c r="DE50" s="130"/>
      <c r="DF50" s="130"/>
      <c r="DG50" s="130"/>
      <c r="DH50" s="129" t="s">
        <v>304</v>
      </c>
      <c r="DI50" s="129">
        <f t="shared" ref="DI50:DN50" si="34">DK15</f>
        <v>0</v>
      </c>
      <c r="DJ50" s="129">
        <f t="shared" si="34"/>
        <v>0</v>
      </c>
      <c r="DK50" s="129">
        <f t="shared" si="34"/>
        <v>0</v>
      </c>
      <c r="DL50" s="129">
        <f t="shared" si="34"/>
        <v>0</v>
      </c>
      <c r="DM50" s="129">
        <f t="shared" si="34"/>
        <v>0</v>
      </c>
      <c r="DN50" s="129">
        <f t="shared" si="34"/>
        <v>0</v>
      </c>
      <c r="DO50" s="130">
        <f t="shared" si="28"/>
        <v>0</v>
      </c>
      <c r="DP50" s="130"/>
      <c r="DQ50" s="130"/>
      <c r="DR50" s="130"/>
      <c r="DS50" s="130"/>
      <c r="DT50" s="130"/>
      <c r="DU50" s="130"/>
      <c r="DV50" s="69"/>
      <c r="DW50" s="130"/>
      <c r="DX50" s="130"/>
      <c r="DY50" s="130"/>
      <c r="DZ50" s="130"/>
      <c r="EA50" s="130"/>
      <c r="EB50" s="130"/>
      <c r="EC50" s="130"/>
      <c r="ED50" s="130"/>
      <c r="EE50" s="130"/>
      <c r="EF50" s="130"/>
      <c r="EG50" s="130"/>
      <c r="EH50" s="130"/>
      <c r="EI50" s="130"/>
      <c r="EJ50" s="130"/>
      <c r="EK50" s="130"/>
      <c r="EL50" s="130"/>
      <c r="EM50" s="130"/>
      <c r="EN50" s="130"/>
      <c r="EO50" s="130"/>
      <c r="EP50" s="130"/>
      <c r="EQ50" s="130"/>
      <c r="ER50" s="130"/>
      <c r="ES50" s="130"/>
      <c r="ET50" s="130"/>
      <c r="EU50" s="130"/>
      <c r="EV50" s="130"/>
      <c r="EW50" s="130"/>
      <c r="EX50" s="130"/>
      <c r="EY50" s="130"/>
      <c r="EZ50" s="130"/>
      <c r="FA50" s="130"/>
      <c r="FB50" s="130"/>
      <c r="FC50" s="130"/>
      <c r="FD50" s="130"/>
      <c r="FE50" s="130"/>
    </row>
    <row r="51" spans="101:161" x14ac:dyDescent="0.2">
      <c r="CW51" s="68" t="s">
        <v>264</v>
      </c>
      <c r="CX51" s="68" t="s">
        <v>2</v>
      </c>
      <c r="CY51" s="129">
        <f>SUM(CX25+CX34)</f>
        <v>0</v>
      </c>
      <c r="CZ51" s="130"/>
      <c r="DA51" s="130"/>
      <c r="DB51" s="130"/>
      <c r="DC51" s="130"/>
      <c r="DD51" s="130"/>
      <c r="DE51" s="130"/>
      <c r="DF51" s="130"/>
      <c r="DG51" s="130"/>
      <c r="DH51" s="129" t="s">
        <v>305</v>
      </c>
      <c r="DI51" s="129">
        <f>DK17+DK18</f>
        <v>0</v>
      </c>
      <c r="DJ51" s="129">
        <f t="shared" ref="DJ51:DN51" si="35">DL17+DL18</f>
        <v>0</v>
      </c>
      <c r="DK51" s="129">
        <f t="shared" si="35"/>
        <v>0</v>
      </c>
      <c r="DL51" s="129">
        <f t="shared" si="35"/>
        <v>0</v>
      </c>
      <c r="DM51" s="129">
        <f t="shared" si="35"/>
        <v>0</v>
      </c>
      <c r="DN51" s="129">
        <f t="shared" si="35"/>
        <v>0</v>
      </c>
      <c r="DO51" s="130">
        <f t="shared" si="28"/>
        <v>0</v>
      </c>
      <c r="DP51" s="130"/>
      <c r="DQ51" s="130"/>
      <c r="DR51" s="130"/>
      <c r="DS51" s="130"/>
      <c r="DT51" s="130"/>
      <c r="DU51" s="130"/>
      <c r="DV51" s="130"/>
      <c r="DW51" s="130"/>
      <c r="DX51" s="130"/>
      <c r="DY51" s="130"/>
      <c r="DZ51" s="130"/>
      <c r="EA51" s="130"/>
      <c r="EB51" s="130"/>
      <c r="EC51" s="130"/>
      <c r="ED51" s="130"/>
      <c r="EE51" s="130"/>
      <c r="EF51" s="130"/>
      <c r="EG51" s="130"/>
      <c r="EH51" s="130"/>
      <c r="EI51" s="130"/>
      <c r="EJ51" s="130"/>
      <c r="EK51" s="130"/>
      <c r="EL51" s="130"/>
      <c r="EM51" s="130"/>
      <c r="EN51" s="130"/>
      <c r="EO51" s="130"/>
      <c r="EP51" s="130"/>
      <c r="EQ51" s="130"/>
      <c r="ER51" s="130"/>
      <c r="ES51" s="130"/>
      <c r="ET51" s="130"/>
      <c r="EU51" s="130"/>
      <c r="EV51" s="130"/>
      <c r="EW51" s="130"/>
      <c r="EX51" s="130"/>
      <c r="EY51" s="130"/>
      <c r="EZ51" s="130"/>
      <c r="FA51" s="130"/>
      <c r="FB51" s="130"/>
      <c r="FC51" s="130"/>
      <c r="FD51" s="130"/>
      <c r="FE51" s="130"/>
    </row>
    <row r="52" spans="101:161" x14ac:dyDescent="0.2">
      <c r="CW52" s="68"/>
      <c r="CX52" s="68" t="s">
        <v>3</v>
      </c>
      <c r="CY52" s="129">
        <f>SUM(CY25+CY34)</f>
        <v>0</v>
      </c>
      <c r="CZ52" s="130"/>
      <c r="DA52" s="130"/>
      <c r="DB52" s="130"/>
      <c r="DC52" s="130"/>
      <c r="DD52" s="130"/>
      <c r="DE52" s="130"/>
      <c r="DF52" s="130"/>
      <c r="DG52" s="130"/>
      <c r="DH52" s="129" t="s">
        <v>306</v>
      </c>
      <c r="DI52" s="129">
        <f t="shared" ref="DI52:DN52" si="36">SUM(DK34:DK36)</f>
        <v>0</v>
      </c>
      <c r="DJ52" s="129">
        <f t="shared" si="36"/>
        <v>0</v>
      </c>
      <c r="DK52" s="129">
        <f t="shared" si="36"/>
        <v>0</v>
      </c>
      <c r="DL52" s="129">
        <f t="shared" si="36"/>
        <v>0</v>
      </c>
      <c r="DM52" s="129">
        <f t="shared" si="36"/>
        <v>0</v>
      </c>
      <c r="DN52" s="129">
        <f t="shared" si="36"/>
        <v>0</v>
      </c>
      <c r="DO52" s="130">
        <f t="shared" si="28"/>
        <v>0</v>
      </c>
      <c r="DP52" s="130"/>
      <c r="DQ52" s="130"/>
      <c r="DR52" s="130"/>
      <c r="DS52" s="130"/>
      <c r="DT52" s="130"/>
      <c r="DU52" s="130"/>
      <c r="DV52" s="130"/>
      <c r="DW52" s="130"/>
      <c r="DX52" s="130"/>
      <c r="DY52" s="130"/>
      <c r="DZ52" s="130"/>
      <c r="EA52" s="130"/>
      <c r="EB52" s="130"/>
      <c r="EC52" s="130"/>
      <c r="ED52" s="130"/>
      <c r="EE52" s="130"/>
      <c r="EF52" s="130"/>
      <c r="EG52" s="130"/>
      <c r="EH52" s="130"/>
      <c r="EI52" s="130"/>
      <c r="EJ52" s="130"/>
      <c r="EK52" s="130"/>
      <c r="EL52" s="130"/>
      <c r="EM52" s="130"/>
      <c r="EN52" s="130"/>
      <c r="EO52" s="130"/>
      <c r="EP52" s="130"/>
      <c r="EQ52" s="130"/>
      <c r="ER52" s="130"/>
      <c r="ES52" s="130"/>
      <c r="ET52" s="130"/>
      <c r="EU52" s="130"/>
      <c r="EV52" s="130"/>
      <c r="EW52" s="130"/>
      <c r="EX52" s="130"/>
      <c r="EY52" s="130"/>
      <c r="EZ52" s="130"/>
      <c r="FA52" s="130"/>
      <c r="FB52" s="130"/>
      <c r="FC52" s="130"/>
      <c r="FD52" s="130"/>
      <c r="FE52" s="130"/>
    </row>
    <row r="53" spans="101:161" x14ac:dyDescent="0.2">
      <c r="CW53" s="68"/>
      <c r="CX53" s="68" t="s">
        <v>4</v>
      </c>
      <c r="CY53" s="129">
        <f>SUM(CZ25+CZ34)</f>
        <v>0</v>
      </c>
      <c r="CZ53" s="130"/>
      <c r="DA53" s="130"/>
      <c r="DB53" s="130"/>
      <c r="DC53" s="130"/>
      <c r="DD53" s="130"/>
      <c r="DE53" s="130"/>
      <c r="DF53" s="130"/>
      <c r="DG53" s="130"/>
      <c r="DH53" s="129" t="s">
        <v>307</v>
      </c>
      <c r="DI53" s="129">
        <f>SUM(DK32,DK26,DK28,DK33)</f>
        <v>0</v>
      </c>
      <c r="DJ53" s="129">
        <f t="shared" ref="DJ53:DN53" si="37">SUM(DL32,DL26,DL28,DL33)</f>
        <v>0</v>
      </c>
      <c r="DK53" s="129">
        <f t="shared" si="37"/>
        <v>0</v>
      </c>
      <c r="DL53" s="129">
        <f t="shared" si="37"/>
        <v>0</v>
      </c>
      <c r="DM53" s="129">
        <f t="shared" si="37"/>
        <v>0</v>
      </c>
      <c r="DN53" s="129">
        <f t="shared" si="37"/>
        <v>0</v>
      </c>
      <c r="DO53" s="130">
        <f t="shared" si="28"/>
        <v>0</v>
      </c>
      <c r="DP53" s="130"/>
      <c r="DQ53" s="130"/>
      <c r="DR53" s="130"/>
      <c r="DS53" s="130"/>
      <c r="DT53" s="130"/>
      <c r="DU53" s="130"/>
      <c r="DV53" s="130"/>
      <c r="DW53" s="130"/>
      <c r="DX53" s="130"/>
      <c r="DY53" s="130"/>
      <c r="DZ53" s="130"/>
      <c r="EA53" s="130"/>
      <c r="EB53" s="130"/>
      <c r="EC53" s="130"/>
      <c r="ED53" s="130"/>
      <c r="EE53" s="130"/>
      <c r="EF53" s="130"/>
      <c r="EG53" s="130"/>
      <c r="EH53" s="130"/>
      <c r="EI53" s="130"/>
      <c r="EJ53" s="130"/>
      <c r="EK53" s="130"/>
      <c r="EL53" s="130"/>
      <c r="EM53" s="130"/>
      <c r="EN53" s="130"/>
      <c r="EO53" s="130"/>
      <c r="EP53" s="130"/>
      <c r="EQ53" s="130"/>
      <c r="ER53" s="130"/>
      <c r="ES53" s="130"/>
      <c r="ET53" s="130"/>
      <c r="EU53" s="130"/>
      <c r="EV53" s="130"/>
      <c r="EW53" s="130"/>
      <c r="EX53" s="130"/>
      <c r="EY53" s="130"/>
      <c r="EZ53" s="130"/>
      <c r="FA53" s="130"/>
      <c r="FB53" s="130"/>
      <c r="FC53" s="130"/>
      <c r="FD53" s="130"/>
      <c r="FE53" s="130"/>
    </row>
    <row r="54" spans="101:161" x14ac:dyDescent="0.2">
      <c r="CW54" s="68"/>
      <c r="CX54" s="68" t="s">
        <v>5</v>
      </c>
      <c r="CY54" s="129">
        <f>SUM(DA25+DA34)</f>
        <v>0</v>
      </c>
      <c r="CZ54" s="130"/>
      <c r="DA54" s="130"/>
      <c r="DB54" s="130"/>
      <c r="DC54" s="130"/>
      <c r="DD54" s="130"/>
      <c r="DE54" s="130"/>
      <c r="DF54" s="130"/>
      <c r="DG54" s="130"/>
      <c r="DH54" s="129" t="s">
        <v>308</v>
      </c>
      <c r="DI54" s="129">
        <f t="shared" ref="DI54:DN54" si="38">DK24</f>
        <v>0</v>
      </c>
      <c r="DJ54" s="129">
        <f t="shared" si="38"/>
        <v>0</v>
      </c>
      <c r="DK54" s="129">
        <f t="shared" si="38"/>
        <v>0</v>
      </c>
      <c r="DL54" s="129">
        <f t="shared" si="38"/>
        <v>0</v>
      </c>
      <c r="DM54" s="129">
        <f t="shared" si="38"/>
        <v>0</v>
      </c>
      <c r="DN54" s="129">
        <f t="shared" si="38"/>
        <v>0</v>
      </c>
      <c r="DO54" s="130">
        <f t="shared" si="28"/>
        <v>0</v>
      </c>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c r="EP54" s="130"/>
      <c r="EQ54" s="130"/>
      <c r="ER54" s="130"/>
      <c r="ES54" s="130"/>
      <c r="ET54" s="130"/>
      <c r="EU54" s="130"/>
      <c r="EV54" s="130"/>
      <c r="EW54" s="130"/>
      <c r="EX54" s="130"/>
      <c r="EY54" s="130"/>
      <c r="EZ54" s="130"/>
      <c r="FA54" s="130"/>
      <c r="FB54" s="130"/>
      <c r="FC54" s="130"/>
      <c r="FD54" s="130"/>
      <c r="FE54" s="130"/>
    </row>
    <row r="55" spans="101:161" x14ac:dyDescent="0.2">
      <c r="CW55" s="68"/>
      <c r="CX55" s="68" t="s">
        <v>6</v>
      </c>
      <c r="CY55" s="129">
        <f>SUM(DB25+DB34)</f>
        <v>0</v>
      </c>
      <c r="CZ55" s="130"/>
      <c r="DA55" s="130"/>
      <c r="DB55" s="130"/>
      <c r="DC55" s="130"/>
      <c r="DD55" s="130"/>
      <c r="DE55" s="130"/>
      <c r="DF55" s="130"/>
      <c r="DG55" s="130"/>
      <c r="DH55" s="129" t="s">
        <v>309</v>
      </c>
      <c r="DI55" s="129">
        <f>DK16</f>
        <v>0</v>
      </c>
      <c r="DJ55" s="129">
        <f t="shared" ref="DJ55:DN55" si="39">DL16</f>
        <v>0</v>
      </c>
      <c r="DK55" s="129">
        <f t="shared" si="39"/>
        <v>0</v>
      </c>
      <c r="DL55" s="129">
        <f t="shared" si="39"/>
        <v>0</v>
      </c>
      <c r="DM55" s="129">
        <f t="shared" si="39"/>
        <v>0</v>
      </c>
      <c r="DN55" s="129">
        <f t="shared" si="39"/>
        <v>0</v>
      </c>
      <c r="DO55" s="130">
        <f t="shared" si="28"/>
        <v>0</v>
      </c>
      <c r="DP55" s="130"/>
      <c r="DQ55" s="130"/>
      <c r="DR55" s="130"/>
      <c r="DS55" s="130"/>
      <c r="DT55" s="130"/>
      <c r="DU55" s="130"/>
      <c r="DV55" s="130"/>
      <c r="DW55" s="130"/>
      <c r="DX55" s="130"/>
      <c r="DY55" s="130"/>
      <c r="DZ55" s="130"/>
      <c r="EA55" s="130"/>
      <c r="EB55" s="130"/>
      <c r="EC55" s="130"/>
      <c r="ED55" s="130"/>
      <c r="EE55" s="130"/>
      <c r="EF55" s="130"/>
      <c r="EG55" s="130"/>
      <c r="EH55" s="130"/>
      <c r="EI55" s="130"/>
      <c r="EJ55" s="130"/>
      <c r="EK55" s="130"/>
      <c r="EL55" s="130"/>
      <c r="EM55" s="130"/>
      <c r="EN55" s="130"/>
      <c r="EO55" s="130"/>
      <c r="EP55" s="130"/>
      <c r="EQ55" s="130"/>
      <c r="ER55" s="130"/>
      <c r="ES55" s="130"/>
      <c r="ET55" s="130"/>
      <c r="EU55" s="130"/>
      <c r="EV55" s="130"/>
      <c r="EW55" s="130"/>
      <c r="EX55" s="130"/>
      <c r="EY55" s="130"/>
      <c r="EZ55" s="130"/>
      <c r="FA55" s="130"/>
      <c r="FB55" s="130"/>
      <c r="FC55" s="130"/>
      <c r="FD55" s="130"/>
      <c r="FE55" s="130"/>
    </row>
    <row r="56" spans="101:161" x14ac:dyDescent="0.2">
      <c r="CW56" s="68"/>
      <c r="CX56" s="68" t="s">
        <v>7</v>
      </c>
      <c r="CY56" s="129">
        <f>SUM(DC25+DC34)</f>
        <v>0</v>
      </c>
      <c r="CZ56" s="130"/>
      <c r="DA56" s="130"/>
      <c r="DB56" s="130"/>
      <c r="DC56" s="130"/>
      <c r="DD56" s="130"/>
      <c r="DE56" s="130"/>
      <c r="DF56" s="130"/>
      <c r="DG56" s="130"/>
      <c r="DH56" s="129" t="s">
        <v>310</v>
      </c>
      <c r="DI56" s="129">
        <f t="shared" ref="DI56:DN56" si="40">DK10+DK11</f>
        <v>0</v>
      </c>
      <c r="DJ56" s="129">
        <f t="shared" si="40"/>
        <v>0</v>
      </c>
      <c r="DK56" s="129">
        <f t="shared" si="40"/>
        <v>0</v>
      </c>
      <c r="DL56" s="129">
        <f t="shared" si="40"/>
        <v>0</v>
      </c>
      <c r="DM56" s="129">
        <f t="shared" si="40"/>
        <v>0</v>
      </c>
      <c r="DN56" s="129">
        <f t="shared" si="40"/>
        <v>0</v>
      </c>
      <c r="DO56" s="130">
        <f t="shared" si="28"/>
        <v>0</v>
      </c>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c r="EP56" s="130"/>
      <c r="EQ56" s="130"/>
      <c r="ER56" s="130"/>
      <c r="ES56" s="130"/>
      <c r="ET56" s="130"/>
      <c r="EU56" s="130"/>
      <c r="EV56" s="130"/>
      <c r="EW56" s="130"/>
      <c r="EX56" s="130"/>
      <c r="EY56" s="130"/>
      <c r="EZ56" s="130"/>
      <c r="FA56" s="130"/>
      <c r="FB56" s="130"/>
      <c r="FC56" s="130"/>
      <c r="FD56" s="130"/>
      <c r="FE56" s="130"/>
    </row>
    <row r="57" spans="101:161" x14ac:dyDescent="0.2">
      <c r="CW57" s="68"/>
      <c r="CX57" s="68" t="s">
        <v>271</v>
      </c>
      <c r="CY57" s="129">
        <f>SUM(DD25+DD34)</f>
        <v>0</v>
      </c>
      <c r="CZ57" s="130"/>
      <c r="DA57" s="130"/>
      <c r="DB57" s="130"/>
      <c r="DC57" s="130"/>
      <c r="DD57" s="130"/>
      <c r="DE57" s="130"/>
      <c r="DF57" s="130"/>
      <c r="DG57" s="130"/>
      <c r="DH57" s="129" t="s">
        <v>311</v>
      </c>
      <c r="DI57" s="129">
        <f>SUM(DK27+DK29)</f>
        <v>0</v>
      </c>
      <c r="DJ57" s="129">
        <f t="shared" ref="DJ57:DN57" si="41">SUM(DL27+DL29)</f>
        <v>0</v>
      </c>
      <c r="DK57" s="129">
        <f t="shared" si="41"/>
        <v>0</v>
      </c>
      <c r="DL57" s="129">
        <f t="shared" si="41"/>
        <v>0</v>
      </c>
      <c r="DM57" s="129">
        <f t="shared" si="41"/>
        <v>0</v>
      </c>
      <c r="DN57" s="129">
        <f t="shared" si="41"/>
        <v>0</v>
      </c>
      <c r="DO57" s="130">
        <f t="shared" si="28"/>
        <v>0</v>
      </c>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c r="EP57" s="130"/>
      <c r="EQ57" s="130"/>
      <c r="ER57" s="130"/>
      <c r="ES57" s="130"/>
      <c r="ET57" s="130"/>
      <c r="EU57" s="130"/>
      <c r="EV57" s="130"/>
      <c r="EW57" s="130"/>
      <c r="EX57" s="130"/>
      <c r="EY57" s="130"/>
      <c r="EZ57" s="130"/>
      <c r="FA57" s="130"/>
      <c r="FB57" s="130"/>
      <c r="FC57" s="130"/>
      <c r="FD57" s="130"/>
      <c r="FE57" s="130"/>
    </row>
    <row r="58" spans="101:161" x14ac:dyDescent="0.2">
      <c r="CW58" s="130"/>
      <c r="CX58" s="130"/>
      <c r="CY58" s="130">
        <f>SUM(CY37:CY57)</f>
        <v>0</v>
      </c>
      <c r="CZ58" s="130"/>
      <c r="DA58" s="130"/>
      <c r="DB58" s="130"/>
      <c r="DC58" s="130"/>
      <c r="DD58" s="130"/>
      <c r="DE58" s="130"/>
      <c r="DF58" s="130"/>
      <c r="DG58" s="130"/>
      <c r="DH58" s="129" t="s">
        <v>312</v>
      </c>
      <c r="DI58" s="129">
        <f>SUM(DK12:DK14)</f>
        <v>0</v>
      </c>
      <c r="DJ58" s="129">
        <f t="shared" ref="DJ58:DN58" si="42">SUM(DL12:DL14)</f>
        <v>0</v>
      </c>
      <c r="DK58" s="129">
        <f t="shared" si="42"/>
        <v>0</v>
      </c>
      <c r="DL58" s="129">
        <f t="shared" si="42"/>
        <v>0</v>
      </c>
      <c r="DM58" s="129">
        <f t="shared" si="42"/>
        <v>0</v>
      </c>
      <c r="DN58" s="129">
        <f t="shared" si="42"/>
        <v>0</v>
      </c>
      <c r="DO58" s="130">
        <f t="shared" si="28"/>
        <v>0</v>
      </c>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c r="EP58" s="130"/>
      <c r="EQ58" s="130"/>
      <c r="ER58" s="130"/>
      <c r="ES58" s="130"/>
      <c r="ET58" s="130"/>
      <c r="EU58" s="130"/>
      <c r="EV58" s="130"/>
      <c r="EW58" s="130"/>
      <c r="EX58" s="130"/>
      <c r="EY58" s="130"/>
      <c r="EZ58" s="130"/>
      <c r="FA58" s="130"/>
      <c r="FB58" s="130"/>
      <c r="FC58" s="130"/>
      <c r="FD58" s="130"/>
      <c r="FE58" s="130"/>
    </row>
    <row r="59" spans="101:161" x14ac:dyDescent="0.2">
      <c r="CW59" s="130"/>
      <c r="CX59" s="130"/>
      <c r="CY59" s="130"/>
      <c r="CZ59" s="130"/>
      <c r="DA59" s="130"/>
      <c r="DB59" s="130"/>
      <c r="DC59" s="130"/>
      <c r="DD59" s="130"/>
      <c r="DE59" s="130"/>
      <c r="DF59" s="130"/>
      <c r="DG59" s="130"/>
      <c r="DH59" s="129" t="s">
        <v>152</v>
      </c>
      <c r="DI59" s="129">
        <f t="shared" ref="DI59:DN59" si="43">DK39</f>
        <v>0</v>
      </c>
      <c r="DJ59" s="129">
        <f t="shared" si="43"/>
        <v>0</v>
      </c>
      <c r="DK59" s="129">
        <f t="shared" si="43"/>
        <v>0</v>
      </c>
      <c r="DL59" s="129">
        <f t="shared" si="43"/>
        <v>0</v>
      </c>
      <c r="DM59" s="129">
        <f t="shared" si="43"/>
        <v>0</v>
      </c>
      <c r="DN59" s="129">
        <f t="shared" si="43"/>
        <v>0</v>
      </c>
      <c r="DO59" s="130">
        <f t="shared" si="28"/>
        <v>0</v>
      </c>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c r="EO59" s="130"/>
      <c r="EP59" s="130"/>
      <c r="EQ59" s="130"/>
      <c r="ER59" s="130"/>
      <c r="ES59" s="130"/>
      <c r="ET59" s="130"/>
      <c r="EU59" s="130"/>
      <c r="EV59" s="130"/>
      <c r="EW59" s="130"/>
      <c r="EX59" s="130"/>
      <c r="EY59" s="130"/>
      <c r="EZ59" s="130"/>
      <c r="FA59" s="130"/>
      <c r="FB59" s="130"/>
      <c r="FC59" s="130"/>
      <c r="FD59" s="130"/>
      <c r="FE59" s="130"/>
    </row>
    <row r="60" spans="101:161" x14ac:dyDescent="0.2">
      <c r="CW60" s="130"/>
      <c r="CX60" s="130"/>
      <c r="CY60" s="130"/>
      <c r="CZ60" s="130"/>
      <c r="DA60" s="130"/>
      <c r="DB60" s="130"/>
      <c r="DC60" s="130"/>
      <c r="DD60" s="130"/>
      <c r="DE60" s="130"/>
      <c r="DF60" s="130"/>
      <c r="DG60" s="130"/>
      <c r="DH60" s="130"/>
      <c r="DI60" s="130"/>
      <c r="DJ60" s="130"/>
      <c r="DK60" s="130"/>
      <c r="DL60" s="130"/>
      <c r="DM60" s="130"/>
      <c r="DN60" s="130"/>
      <c r="DO60" s="130">
        <f>SUM(DI44:DN59)</f>
        <v>0</v>
      </c>
      <c r="DP60" s="130"/>
      <c r="DQ60" s="130"/>
      <c r="DR60" s="130"/>
      <c r="DS60" s="130"/>
      <c r="DT60" s="130"/>
      <c r="DU60" s="130"/>
      <c r="DV60" s="130"/>
      <c r="DW60" s="130"/>
      <c r="DX60" s="130"/>
      <c r="DY60" s="130"/>
      <c r="DZ60" s="130"/>
      <c r="EA60" s="130"/>
      <c r="EB60" s="130"/>
      <c r="EC60" s="130"/>
      <c r="ED60" s="130"/>
      <c r="EE60" s="130"/>
      <c r="EF60" s="130"/>
      <c r="EG60" s="130"/>
      <c r="EH60" s="130"/>
      <c r="EI60" s="130"/>
      <c r="EJ60" s="130"/>
      <c r="EK60" s="130"/>
      <c r="EL60" s="130"/>
      <c r="EM60" s="130"/>
      <c r="EN60" s="130"/>
      <c r="EO60" s="130"/>
      <c r="EP60" s="130"/>
      <c r="EQ60" s="130"/>
      <c r="ER60" s="130"/>
      <c r="ES60" s="130"/>
      <c r="ET60" s="130"/>
      <c r="EU60" s="130"/>
      <c r="EV60" s="130"/>
      <c r="EW60" s="130"/>
      <c r="EX60" s="130"/>
      <c r="EY60" s="130"/>
      <c r="EZ60" s="130"/>
      <c r="FA60" s="130"/>
      <c r="FB60" s="130"/>
      <c r="FC60" s="130"/>
      <c r="FD60" s="130"/>
      <c r="FE60" s="130"/>
    </row>
    <row r="61" spans="101:161" x14ac:dyDescent="0.2">
      <c r="CW61" s="130"/>
      <c r="CX61" s="130"/>
      <c r="CY61" s="130"/>
      <c r="CZ61" s="130"/>
      <c r="DA61" s="130"/>
      <c r="DB61" s="130"/>
      <c r="DC61" s="130"/>
      <c r="DD61" s="130"/>
      <c r="DE61" s="130"/>
      <c r="DF61" s="130"/>
      <c r="DG61" s="130"/>
      <c r="DH61" s="130"/>
      <c r="DI61" s="130"/>
      <c r="DJ61" s="130"/>
      <c r="DK61" s="130"/>
      <c r="DL61" s="130"/>
      <c r="DM61" s="130"/>
      <c r="DN61" s="130"/>
      <c r="DO61" s="130"/>
      <c r="DP61" s="130"/>
      <c r="DQ61" s="130"/>
      <c r="DR61" s="130"/>
      <c r="DS61" s="130"/>
      <c r="DT61" s="130"/>
      <c r="DU61" s="130"/>
      <c r="DV61" s="130"/>
      <c r="DW61" s="130"/>
      <c r="DX61" s="130"/>
      <c r="DY61" s="130"/>
      <c r="DZ61" s="130"/>
      <c r="EA61" s="130"/>
      <c r="EB61" s="130"/>
      <c r="EC61" s="130"/>
      <c r="ED61" s="130"/>
      <c r="EE61" s="130"/>
      <c r="EF61" s="130"/>
      <c r="EG61" s="130"/>
      <c r="EH61" s="130"/>
      <c r="EI61" s="130"/>
      <c r="EJ61" s="130"/>
      <c r="EK61" s="130"/>
      <c r="EL61" s="130"/>
      <c r="EM61" s="130"/>
      <c r="EN61" s="130"/>
      <c r="EO61" s="130"/>
      <c r="EP61" s="130"/>
      <c r="EQ61" s="130"/>
      <c r="ER61" s="130"/>
      <c r="ES61" s="130"/>
      <c r="ET61" s="130"/>
      <c r="EU61" s="130"/>
      <c r="EV61" s="130"/>
      <c r="EW61" s="130"/>
      <c r="EX61" s="130"/>
      <c r="EY61" s="130"/>
      <c r="EZ61" s="130"/>
      <c r="FA61" s="130"/>
      <c r="FB61" s="130"/>
      <c r="FC61" s="130"/>
      <c r="FD61" s="130"/>
      <c r="FE61" s="130"/>
    </row>
    <row r="62" spans="101:161" x14ac:dyDescent="0.2">
      <c r="CW62" s="130"/>
      <c r="CX62" s="130"/>
      <c r="CY62" s="130"/>
      <c r="CZ62" s="130"/>
      <c r="DA62" s="130"/>
      <c r="DB62" s="130"/>
      <c r="DC62" s="130"/>
      <c r="DD62" s="130"/>
      <c r="DE62" s="130"/>
      <c r="DF62" s="130"/>
      <c r="DG62" s="130"/>
      <c r="DH62" s="130"/>
      <c r="DI62" s="130"/>
      <c r="DJ62" s="130"/>
      <c r="DK62" s="130"/>
      <c r="DL62" s="130"/>
      <c r="DM62" s="130"/>
      <c r="DN62" s="130"/>
      <c r="DO62" s="130"/>
      <c r="DP62" s="130"/>
      <c r="DQ62" s="130"/>
      <c r="DR62" s="130"/>
      <c r="DS62" s="130"/>
      <c r="DT62" s="130"/>
      <c r="DU62" s="130"/>
      <c r="DV62" s="130"/>
      <c r="DW62" s="130"/>
      <c r="DX62" s="130"/>
      <c r="DY62" s="130"/>
      <c r="DZ62" s="130"/>
      <c r="EA62" s="130"/>
      <c r="EB62" s="130"/>
      <c r="EC62" s="130"/>
      <c r="ED62" s="130"/>
      <c r="EE62" s="130"/>
      <c r="EF62" s="130"/>
      <c r="EG62" s="130"/>
      <c r="EH62" s="130"/>
      <c r="EI62" s="130"/>
      <c r="EJ62" s="130"/>
      <c r="EK62" s="130"/>
      <c r="EL62" s="130"/>
      <c r="EM62" s="130"/>
      <c r="EN62" s="130"/>
      <c r="EO62" s="130"/>
      <c r="EP62" s="130"/>
      <c r="EQ62" s="130"/>
      <c r="ER62" s="130"/>
      <c r="ES62" s="130"/>
      <c r="ET62" s="130"/>
      <c r="EU62" s="130"/>
      <c r="EV62" s="130"/>
      <c r="EW62" s="130"/>
      <c r="EX62" s="130"/>
      <c r="EY62" s="130"/>
      <c r="EZ62" s="130"/>
      <c r="FA62" s="130"/>
      <c r="FB62" s="130"/>
      <c r="FC62" s="130"/>
      <c r="FD62" s="130"/>
      <c r="FE62" s="130"/>
    </row>
    <row r="63" spans="101:161" x14ac:dyDescent="0.2">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row>
    <row r="64" spans="101:161" x14ac:dyDescent="0.2">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row>
    <row r="65" spans="123:126" x14ac:dyDescent="0.2">
      <c r="DS65" s="130"/>
      <c r="DT65" s="130"/>
      <c r="DU65" s="130"/>
      <c r="DV65" s="130"/>
    </row>
    <row r="66" spans="123:126" x14ac:dyDescent="0.2">
      <c r="DS66" s="130"/>
      <c r="DT66" s="130"/>
      <c r="DU66" s="130"/>
      <c r="DV66" s="130"/>
    </row>
    <row r="67" spans="123:126" x14ac:dyDescent="0.2">
      <c r="DS67" s="130"/>
      <c r="DT67" s="130"/>
      <c r="DU67" s="130"/>
      <c r="DV67" s="130"/>
    </row>
    <row r="68" spans="123:126" x14ac:dyDescent="0.2">
      <c r="DS68" s="130"/>
      <c r="DT68" s="130"/>
      <c r="DU68" s="130"/>
      <c r="DV68" s="130"/>
    </row>
    <row r="69" spans="123:126" x14ac:dyDescent="0.2">
      <c r="DS69" s="130"/>
      <c r="DT69" s="130"/>
      <c r="DU69" s="130"/>
      <c r="DV69" s="130"/>
    </row>
    <row r="70" spans="123:126" x14ac:dyDescent="0.2">
      <c r="DS70" s="130"/>
      <c r="DT70" s="130"/>
      <c r="DU70" s="130"/>
      <c r="DV70" s="130"/>
    </row>
    <row r="71" spans="123:126" x14ac:dyDescent="0.2">
      <c r="DS71" s="130"/>
      <c r="DT71" s="130"/>
      <c r="DU71" s="130"/>
      <c r="DV71" s="130"/>
    </row>
  </sheetData>
  <mergeCells count="1">
    <mergeCell ref="AG16:AI16"/>
  </mergeCells>
  <phoneticPr fontId="12" type="noConversion"/>
  <conditionalFormatting sqref="N6">
    <cfRule type="cellIs" dxfId="27" priority="215" operator="greaterThan">
      <formula>$E$5</formula>
    </cfRule>
    <cfRule type="cellIs" dxfId="26" priority="214" operator="lessThan">
      <formula>$E$5</formula>
    </cfRule>
  </conditionalFormatting>
  <conditionalFormatting sqref="O4">
    <cfRule type="cellIs" dxfId="25" priority="216" operator="lessThan">
      <formula>$E$4</formula>
    </cfRule>
    <cfRule type="cellIs" dxfId="24" priority="219" operator="greaterThan">
      <formula>$E$4</formula>
    </cfRule>
  </conditionalFormatting>
  <conditionalFormatting sqref="U30">
    <cfRule type="cellIs" dxfId="23" priority="184" operator="notEqual">
      <formula>($E$2+$E$3)</formula>
    </cfRule>
  </conditionalFormatting>
  <conditionalFormatting sqref="AD31">
    <cfRule type="cellIs" dxfId="22" priority="187" operator="greaterThan">
      <formula>$U$30</formula>
    </cfRule>
    <cfRule type="cellIs" dxfId="21" priority="186" operator="lessThan">
      <formula>$U$30</formula>
    </cfRule>
  </conditionalFormatting>
  <conditionalFormatting sqref="AE2:AE29">
    <cfRule type="cellIs" dxfId="20" priority="213" operator="greaterThan">
      <formula>$U2</formula>
    </cfRule>
    <cfRule type="cellIs" dxfId="19" priority="212" operator="lessThan">
      <formula>$U2</formula>
    </cfRule>
  </conditionalFormatting>
  <conditionalFormatting sqref="AH15">
    <cfRule type="cellIs" dxfId="18" priority="182" operator="notEqual">
      <formula>$E$2+$E$3</formula>
    </cfRule>
  </conditionalFormatting>
  <conditionalFormatting sqref="AQ16">
    <cfRule type="cellIs" dxfId="17" priority="181" operator="greaterThan">
      <formula>$AH$15</formula>
    </cfRule>
    <cfRule type="cellIs" dxfId="16" priority="180" operator="lessThan">
      <formula>$AH$15</formula>
    </cfRule>
  </conditionalFormatting>
  <conditionalFormatting sqref="AR2:AR14">
    <cfRule type="cellIs" dxfId="15" priority="179" operator="greaterThan">
      <formula>$AH2</formula>
    </cfRule>
    <cfRule type="cellIs" dxfId="14" priority="178" operator="lessThan">
      <formula>$AH2</formula>
    </cfRule>
  </conditionalFormatting>
  <conditionalFormatting sqref="AU10">
    <cfRule type="cellIs" dxfId="13" priority="134" operator="notEqual">
      <formula>$E$2+$E$3</formula>
    </cfRule>
  </conditionalFormatting>
  <conditionalFormatting sqref="BD11">
    <cfRule type="cellIs" dxfId="12" priority="137" operator="greaterThan">
      <formula>$AU$10</formula>
    </cfRule>
    <cfRule type="cellIs" dxfId="11" priority="136" operator="lessThan">
      <formula>$AU$10</formula>
    </cfRule>
  </conditionalFormatting>
  <conditionalFormatting sqref="BE2:BE9">
    <cfRule type="cellIs" dxfId="10" priority="153" operator="greaterThan">
      <formula>$AU2</formula>
    </cfRule>
    <cfRule type="cellIs" dxfId="9" priority="152" operator="lessThan">
      <formula>$AU2</formula>
    </cfRule>
  </conditionalFormatting>
  <conditionalFormatting sqref="BH7">
    <cfRule type="cellIs" dxfId="8" priority="120" operator="notEqual">
      <formula>$E$2+$E$3</formula>
    </cfRule>
  </conditionalFormatting>
  <conditionalFormatting sqref="BQ8">
    <cfRule type="cellIs" dxfId="7" priority="122" operator="lessThan">
      <formula>$BH$7</formula>
    </cfRule>
    <cfRule type="cellIs" dxfId="6" priority="123" operator="greaterThan">
      <formula>$BH$7</formula>
    </cfRule>
  </conditionalFormatting>
  <conditionalFormatting sqref="BR2:BR6">
    <cfRule type="cellIs" dxfId="5" priority="132" operator="lessThan">
      <formula>$BH2</formula>
    </cfRule>
    <cfRule type="cellIs" dxfId="4" priority="133" operator="greaterThan">
      <formula>$BH2</formula>
    </cfRule>
  </conditionalFormatting>
  <conditionalFormatting sqref="CE41">
    <cfRule type="cellIs" dxfId="3" priority="55" operator="greaterThan">
      <formula>$BV$40</formula>
    </cfRule>
    <cfRule type="cellIs" dxfId="2" priority="54" operator="lessThan">
      <formula>$BV$40</formula>
    </cfRule>
  </conditionalFormatting>
  <conditionalFormatting sqref="CF2:CF39">
    <cfRule type="cellIs" dxfId="1" priority="119" operator="greaterThan">
      <formula>$BV2</formula>
    </cfRule>
    <cfRule type="cellIs" dxfId="0" priority="118" operator="lessThan">
      <formula>$BV2</formula>
    </cfRule>
  </conditionalFormatting>
  <conditionalFormatting sqref="CI2:CI5">
    <cfRule type="dataBar" priority="47">
      <dataBar>
        <cfvo type="min"/>
        <cfvo type="max"/>
        <color rgb="FF638EC6"/>
      </dataBar>
      <extLst>
        <ext xmlns:x14="http://schemas.microsoft.com/office/spreadsheetml/2009/9/main" uri="{B025F937-C7B1-47D3-B67F-A62EFF666E3E}">
          <x14:id>{ADA21EE2-7D23-4A5B-A180-3659923FFD2E}</x14:id>
        </ext>
      </extLst>
    </cfRule>
  </conditionalFormatting>
  <conditionalFormatting sqref="CJ2:CJ5">
    <cfRule type="dataBar" priority="46">
      <dataBar>
        <cfvo type="min"/>
        <cfvo type="max"/>
        <color rgb="FF638EC6"/>
      </dataBar>
      <extLst>
        <ext xmlns:x14="http://schemas.microsoft.com/office/spreadsheetml/2009/9/main" uri="{B025F937-C7B1-47D3-B67F-A62EFF666E3E}">
          <x14:id>{847BE6C9-6E8D-4660-B491-7BF67343F666}</x14:id>
        </ext>
      </extLst>
    </cfRule>
  </conditionalFormatting>
  <conditionalFormatting sqref="CK2:CK5">
    <cfRule type="dataBar" priority="45">
      <dataBar>
        <cfvo type="min"/>
        <cfvo type="max"/>
        <color rgb="FF638EC6"/>
      </dataBar>
      <extLst>
        <ext xmlns:x14="http://schemas.microsoft.com/office/spreadsheetml/2009/9/main" uri="{B025F937-C7B1-47D3-B67F-A62EFF666E3E}">
          <x14:id>{EAA24412-78B3-4EB7-B122-C409B9FD9831}</x14:id>
        </ext>
      </extLst>
    </cfRule>
  </conditionalFormatting>
  <conditionalFormatting sqref="CL2:CL5">
    <cfRule type="dataBar" priority="44">
      <dataBar>
        <cfvo type="min"/>
        <cfvo type="max"/>
        <color rgb="FF638EC6"/>
      </dataBar>
      <extLst>
        <ext xmlns:x14="http://schemas.microsoft.com/office/spreadsheetml/2009/9/main" uri="{B025F937-C7B1-47D3-B67F-A62EFF666E3E}">
          <x14:id>{BD4130C7-8A61-4161-BBB7-CDCA3ED163FA}</x14:id>
        </ext>
      </extLst>
    </cfRule>
  </conditionalFormatting>
  <conditionalFormatting sqref="CM2:CM5">
    <cfRule type="dataBar" priority="43">
      <dataBar>
        <cfvo type="min"/>
        <cfvo type="max"/>
        <color rgb="FF638EC6"/>
      </dataBar>
      <extLst>
        <ext xmlns:x14="http://schemas.microsoft.com/office/spreadsheetml/2009/9/main" uri="{B025F937-C7B1-47D3-B67F-A62EFF666E3E}">
          <x14:id>{9EFF1E58-C12D-4081-8314-40C12E3243B3}</x14:id>
        </ext>
      </extLst>
    </cfRule>
  </conditionalFormatting>
  <conditionalFormatting sqref="CN2:CN5">
    <cfRule type="dataBar" priority="42">
      <dataBar>
        <cfvo type="min"/>
        <cfvo type="max"/>
        <color rgb="FF638EC6"/>
      </dataBar>
      <extLst>
        <ext xmlns:x14="http://schemas.microsoft.com/office/spreadsheetml/2009/9/main" uri="{B025F937-C7B1-47D3-B67F-A62EFF666E3E}">
          <x14:id>{E67504F4-8DAA-4EEC-AC9A-FB90E1426EF2}</x14:id>
        </ext>
      </extLst>
    </cfRule>
  </conditionalFormatting>
  <conditionalFormatting sqref="CO2:CO5">
    <cfRule type="dataBar" priority="41">
      <dataBar>
        <cfvo type="min"/>
        <cfvo type="max"/>
        <color rgb="FF638EC6"/>
      </dataBar>
      <extLst>
        <ext xmlns:x14="http://schemas.microsoft.com/office/spreadsheetml/2009/9/main" uri="{B025F937-C7B1-47D3-B67F-A62EFF666E3E}">
          <x14:id>{78DDECD5-B990-43F0-B067-20DB4164CFF5}</x14:id>
        </ext>
      </extLst>
    </cfRule>
  </conditionalFormatting>
  <conditionalFormatting sqref="CP2:CP5">
    <cfRule type="dataBar" priority="40">
      <dataBar>
        <cfvo type="min"/>
        <cfvo type="max"/>
        <color rgb="FF638EC6"/>
      </dataBar>
      <extLst>
        <ext xmlns:x14="http://schemas.microsoft.com/office/spreadsheetml/2009/9/main" uri="{B025F937-C7B1-47D3-B67F-A62EFF666E3E}">
          <x14:id>{4D6C1216-D61C-4D24-B201-156EF3FC37F5}</x14:id>
        </ext>
      </extLst>
    </cfRule>
  </conditionalFormatting>
  <conditionalFormatting sqref="CQ2:CQ5">
    <cfRule type="dataBar" priority="39">
      <dataBar>
        <cfvo type="min"/>
        <cfvo type="max"/>
        <color rgb="FF638EC6"/>
      </dataBar>
      <extLst>
        <ext xmlns:x14="http://schemas.microsoft.com/office/spreadsheetml/2009/9/main" uri="{B025F937-C7B1-47D3-B67F-A62EFF666E3E}">
          <x14:id>{CE7EDFD2-8AD8-4E7D-B2F0-2AD8B51C59E5}</x14:id>
        </ext>
      </extLst>
    </cfRule>
  </conditionalFormatting>
  <conditionalFormatting sqref="CR2:CR5">
    <cfRule type="dataBar" priority="38">
      <dataBar>
        <cfvo type="min"/>
        <cfvo type="max"/>
        <color rgb="FF638EC6"/>
      </dataBar>
      <extLst>
        <ext xmlns:x14="http://schemas.microsoft.com/office/spreadsheetml/2009/9/main" uri="{B025F937-C7B1-47D3-B67F-A62EFF666E3E}">
          <x14:id>{8A8CB9A9-2FBF-4FB3-A2B9-67D04CB8A148}</x14:id>
        </ext>
      </extLst>
    </cfRule>
  </conditionalFormatting>
  <conditionalFormatting sqref="CT2:CT5">
    <cfRule type="dataBar" priority="37">
      <dataBar>
        <cfvo type="min"/>
        <cfvo type="max"/>
        <color rgb="FF638EC6"/>
      </dataBar>
      <extLst>
        <ext xmlns:x14="http://schemas.microsoft.com/office/spreadsheetml/2009/9/main" uri="{B025F937-C7B1-47D3-B67F-A62EFF666E3E}">
          <x14:id>{3402CC5A-F7C9-4CA4-A71D-C4E44ADCD584}</x14:id>
        </ext>
      </extLst>
    </cfRule>
  </conditionalFormatting>
  <conditionalFormatting sqref="DI43:DN59">
    <cfRule type="dataBar" priority="6">
      <dataBar>
        <cfvo type="min"/>
        <cfvo type="max"/>
        <color rgb="FF638EC6"/>
      </dataBar>
      <extLst>
        <ext xmlns:x14="http://schemas.microsoft.com/office/spreadsheetml/2009/9/main" uri="{B025F937-C7B1-47D3-B67F-A62EFF666E3E}">
          <x14:id>{EF0AC47F-A6A1-415F-AE6F-CF2595905283}</x14:id>
        </ext>
      </extLst>
    </cfRule>
  </conditionalFormatting>
  <conditionalFormatting sqref="DO44:DO59">
    <cfRule type="colorScale" priority="1">
      <colorScale>
        <cfvo type="min"/>
        <cfvo type="percentile" val="50"/>
        <cfvo type="max"/>
        <color rgb="FFF8696B"/>
        <color rgb="FFFCFCFF"/>
        <color rgb="FF63BE7B"/>
      </colorScale>
    </cfRule>
    <cfRule type="colorScale" priority="3">
      <colorScale>
        <cfvo type="min"/>
        <cfvo type="percentile" val="50"/>
        <cfvo type="max"/>
        <color rgb="FFF8696B"/>
        <color rgb="FFFCFCFF"/>
        <color rgb="FF63BE7B"/>
      </colorScale>
    </cfRule>
  </conditionalFormatting>
  <conditionalFormatting sqref="DT51:DT65">
    <cfRule type="colorScale" priority="369">
      <colorScale>
        <cfvo type="min"/>
        <cfvo type="percentile" val="50"/>
        <cfvo type="max"/>
        <color rgb="FFF8696B"/>
        <color rgb="FFFCFCFF"/>
        <color rgb="FF63BE7B"/>
      </colorScale>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dataBar" id="{ADA21EE2-7D23-4A5B-A180-3659923FFD2E}">
            <x14:dataBar minLength="0" maxLength="100" gradient="0">
              <x14:cfvo type="autoMin"/>
              <x14:cfvo type="autoMax"/>
              <x14:negativeFillColor rgb="FFFF0000"/>
              <x14:axisColor rgb="FF000000"/>
            </x14:dataBar>
          </x14:cfRule>
          <xm:sqref>CI2:CI5</xm:sqref>
        </x14:conditionalFormatting>
        <x14:conditionalFormatting xmlns:xm="http://schemas.microsoft.com/office/excel/2006/main">
          <x14:cfRule type="dataBar" id="{847BE6C9-6E8D-4660-B491-7BF67343F666}">
            <x14:dataBar minLength="0" maxLength="100" gradient="0">
              <x14:cfvo type="autoMin"/>
              <x14:cfvo type="autoMax"/>
              <x14:negativeFillColor rgb="FFFF0000"/>
              <x14:axisColor rgb="FF000000"/>
            </x14:dataBar>
          </x14:cfRule>
          <xm:sqref>CJ2:CJ5</xm:sqref>
        </x14:conditionalFormatting>
        <x14:conditionalFormatting xmlns:xm="http://schemas.microsoft.com/office/excel/2006/main">
          <x14:cfRule type="dataBar" id="{EAA24412-78B3-4EB7-B122-C409B9FD9831}">
            <x14:dataBar minLength="0" maxLength="100" gradient="0">
              <x14:cfvo type="autoMin"/>
              <x14:cfvo type="autoMax"/>
              <x14:negativeFillColor rgb="FFFF0000"/>
              <x14:axisColor rgb="FF000000"/>
            </x14:dataBar>
          </x14:cfRule>
          <xm:sqref>CK2:CK5</xm:sqref>
        </x14:conditionalFormatting>
        <x14:conditionalFormatting xmlns:xm="http://schemas.microsoft.com/office/excel/2006/main">
          <x14:cfRule type="dataBar" id="{BD4130C7-8A61-4161-BBB7-CDCA3ED163FA}">
            <x14:dataBar minLength="0" maxLength="100" gradient="0">
              <x14:cfvo type="autoMin"/>
              <x14:cfvo type="autoMax"/>
              <x14:negativeFillColor rgb="FFFF0000"/>
              <x14:axisColor rgb="FF000000"/>
            </x14:dataBar>
          </x14:cfRule>
          <xm:sqref>CL2:CL5</xm:sqref>
        </x14:conditionalFormatting>
        <x14:conditionalFormatting xmlns:xm="http://schemas.microsoft.com/office/excel/2006/main">
          <x14:cfRule type="dataBar" id="{9EFF1E58-C12D-4081-8314-40C12E3243B3}">
            <x14:dataBar minLength="0" maxLength="100" gradient="0">
              <x14:cfvo type="autoMin"/>
              <x14:cfvo type="autoMax"/>
              <x14:negativeFillColor rgb="FFFF0000"/>
              <x14:axisColor rgb="FF000000"/>
            </x14:dataBar>
          </x14:cfRule>
          <xm:sqref>CM2:CM5</xm:sqref>
        </x14:conditionalFormatting>
        <x14:conditionalFormatting xmlns:xm="http://schemas.microsoft.com/office/excel/2006/main">
          <x14:cfRule type="dataBar" id="{E67504F4-8DAA-4EEC-AC9A-FB90E1426EF2}">
            <x14:dataBar minLength="0" maxLength="100" gradient="0">
              <x14:cfvo type="autoMin"/>
              <x14:cfvo type="autoMax"/>
              <x14:negativeFillColor rgb="FFFF0000"/>
              <x14:axisColor rgb="FF000000"/>
            </x14:dataBar>
          </x14:cfRule>
          <xm:sqref>CN2:CN5</xm:sqref>
        </x14:conditionalFormatting>
        <x14:conditionalFormatting xmlns:xm="http://schemas.microsoft.com/office/excel/2006/main">
          <x14:cfRule type="dataBar" id="{78DDECD5-B990-43F0-B067-20DB4164CFF5}">
            <x14:dataBar minLength="0" maxLength="100" gradient="0">
              <x14:cfvo type="autoMin"/>
              <x14:cfvo type="autoMax"/>
              <x14:negativeFillColor rgb="FFFF0000"/>
              <x14:axisColor rgb="FF000000"/>
            </x14:dataBar>
          </x14:cfRule>
          <xm:sqref>CO2:CO5</xm:sqref>
        </x14:conditionalFormatting>
        <x14:conditionalFormatting xmlns:xm="http://schemas.microsoft.com/office/excel/2006/main">
          <x14:cfRule type="dataBar" id="{4D6C1216-D61C-4D24-B201-156EF3FC37F5}">
            <x14:dataBar minLength="0" maxLength="100" gradient="0">
              <x14:cfvo type="autoMin"/>
              <x14:cfvo type="autoMax"/>
              <x14:negativeFillColor rgb="FFFF0000"/>
              <x14:axisColor rgb="FF000000"/>
            </x14:dataBar>
          </x14:cfRule>
          <xm:sqref>CP2:CP5</xm:sqref>
        </x14:conditionalFormatting>
        <x14:conditionalFormatting xmlns:xm="http://schemas.microsoft.com/office/excel/2006/main">
          <x14:cfRule type="dataBar" id="{CE7EDFD2-8AD8-4E7D-B2F0-2AD8B51C59E5}">
            <x14:dataBar minLength="0" maxLength="100" gradient="0">
              <x14:cfvo type="autoMin"/>
              <x14:cfvo type="autoMax"/>
              <x14:negativeFillColor rgb="FFFF0000"/>
              <x14:axisColor rgb="FF000000"/>
            </x14:dataBar>
          </x14:cfRule>
          <xm:sqref>CQ2:CQ5</xm:sqref>
        </x14:conditionalFormatting>
        <x14:conditionalFormatting xmlns:xm="http://schemas.microsoft.com/office/excel/2006/main">
          <x14:cfRule type="dataBar" id="{8A8CB9A9-2FBF-4FB3-A2B9-67D04CB8A148}">
            <x14:dataBar minLength="0" maxLength="100" gradient="0">
              <x14:cfvo type="autoMin"/>
              <x14:cfvo type="autoMax"/>
              <x14:negativeFillColor rgb="FFFF0000"/>
              <x14:axisColor rgb="FF000000"/>
            </x14:dataBar>
          </x14:cfRule>
          <xm:sqref>CR2:CR5</xm:sqref>
        </x14:conditionalFormatting>
        <x14:conditionalFormatting xmlns:xm="http://schemas.microsoft.com/office/excel/2006/main">
          <x14:cfRule type="dataBar" id="{3402CC5A-F7C9-4CA4-A71D-C4E44ADCD584}">
            <x14:dataBar minLength="0" maxLength="100" gradient="0">
              <x14:cfvo type="autoMin"/>
              <x14:cfvo type="autoMax"/>
              <x14:negativeFillColor rgb="FFFF0000"/>
              <x14:axisColor rgb="FF000000"/>
            </x14:dataBar>
          </x14:cfRule>
          <xm:sqref>CT2:CT5</xm:sqref>
        </x14:conditionalFormatting>
        <x14:conditionalFormatting xmlns:xm="http://schemas.microsoft.com/office/excel/2006/main">
          <x14:cfRule type="dataBar" id="{EF0AC47F-A6A1-415F-AE6F-CF2595905283}">
            <x14:dataBar minLength="0" maxLength="100" gradient="0">
              <x14:cfvo type="autoMin"/>
              <x14:cfvo type="autoMax"/>
              <x14:negativeFillColor rgb="FFFF0000"/>
              <x14:axisColor rgb="FF000000"/>
            </x14:dataBar>
          </x14:cfRule>
          <xm:sqref>DI43:DN59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9350-474D-48D9-81B2-40BB3B3DC1C4}">
  <dimension ref="A1:N20"/>
  <sheetViews>
    <sheetView workbookViewId="0">
      <selection activeCell="N13" sqref="N13:N20"/>
    </sheetView>
  </sheetViews>
  <sheetFormatPr baseColWidth="10" defaultColWidth="8.83203125" defaultRowHeight="16" x14ac:dyDescent="0.2"/>
  <cols>
    <col min="1" max="1" width="21.6640625" bestFit="1" customWidth="1"/>
  </cols>
  <sheetData>
    <row r="1" spans="1:14" s="13" customFormat="1" x14ac:dyDescent="0.2">
      <c r="A1" s="13" t="s">
        <v>68</v>
      </c>
      <c r="B1" s="13" t="s">
        <v>233</v>
      </c>
      <c r="C1" s="13" t="s">
        <v>135</v>
      </c>
      <c r="D1" s="13" t="s">
        <v>159</v>
      </c>
      <c r="E1" s="13" t="s">
        <v>142</v>
      </c>
      <c r="F1" s="13" t="s">
        <v>109</v>
      </c>
      <c r="G1" s="13" t="s">
        <v>157</v>
      </c>
      <c r="H1" s="13" t="s">
        <v>177</v>
      </c>
      <c r="I1" s="13" t="s">
        <v>100</v>
      </c>
      <c r="J1" s="13" t="s">
        <v>149</v>
      </c>
      <c r="K1" s="13" t="s">
        <v>93</v>
      </c>
      <c r="L1" s="13" t="s">
        <v>355</v>
      </c>
      <c r="N1" s="13" t="s">
        <v>412</v>
      </c>
    </row>
    <row r="2" spans="1:14" x14ac:dyDescent="0.2">
      <c r="A2" t="s">
        <v>103</v>
      </c>
      <c r="B2">
        <f>'Quant analysis'!AU2</f>
        <v>0</v>
      </c>
      <c r="C2">
        <f>'Quant analysis'!AV2</f>
        <v>0</v>
      </c>
      <c r="D2">
        <f>'Quant analysis'!AW2</f>
        <v>0</v>
      </c>
      <c r="E2">
        <f>'Quant analysis'!AX2</f>
        <v>0</v>
      </c>
      <c r="F2">
        <f>'Quant analysis'!AY2</f>
        <v>0</v>
      </c>
      <c r="G2">
        <f>'Quant analysis'!AZ2</f>
        <v>0</v>
      </c>
      <c r="H2">
        <f>'Quant analysis'!BA2</f>
        <v>0</v>
      </c>
      <c r="I2">
        <f>'Quant analysis'!BB2</f>
        <v>0</v>
      </c>
      <c r="J2">
        <f>'Quant analysis'!BC2</f>
        <v>0</v>
      </c>
      <c r="K2">
        <f>'Quant analysis'!BD2</f>
        <v>0</v>
      </c>
      <c r="L2">
        <f t="shared" ref="L2:L9" si="0">SUM(H2:K2)</f>
        <v>0</v>
      </c>
      <c r="M2" s="13">
        <f t="shared" ref="M2:M9" si="1">SUM(C2:K2)</f>
        <v>0</v>
      </c>
      <c r="N2">
        <f>SUM(C2,F2,G2)</f>
        <v>0</v>
      </c>
    </row>
    <row r="3" spans="1:14" x14ac:dyDescent="0.2">
      <c r="A3" t="s">
        <v>102</v>
      </c>
      <c r="B3">
        <f>'Quant analysis'!AU3</f>
        <v>0</v>
      </c>
      <c r="C3">
        <f>'Quant analysis'!AV3</f>
        <v>0</v>
      </c>
      <c r="D3">
        <f>'Quant analysis'!AW3</f>
        <v>0</v>
      </c>
      <c r="E3">
        <f>'Quant analysis'!AX3</f>
        <v>0</v>
      </c>
      <c r="F3">
        <f>'Quant analysis'!AY3</f>
        <v>0</v>
      </c>
      <c r="G3">
        <f>'Quant analysis'!AZ3</f>
        <v>0</v>
      </c>
      <c r="H3">
        <f>'Quant analysis'!BA3</f>
        <v>0</v>
      </c>
      <c r="I3">
        <f>'Quant analysis'!BB3</f>
        <v>0</v>
      </c>
      <c r="J3">
        <f>'Quant analysis'!BC3</f>
        <v>0</v>
      </c>
      <c r="K3">
        <f>'Quant analysis'!BD3</f>
        <v>0</v>
      </c>
      <c r="L3">
        <f t="shared" si="0"/>
        <v>0</v>
      </c>
      <c r="M3" s="13">
        <f t="shared" si="1"/>
        <v>0</v>
      </c>
      <c r="N3">
        <f t="shared" ref="N3:N10" si="2">SUM(C3,F3,G3)</f>
        <v>0</v>
      </c>
    </row>
    <row r="4" spans="1:14" x14ac:dyDescent="0.2">
      <c r="A4" t="s">
        <v>125</v>
      </c>
      <c r="B4">
        <f>'Quant analysis'!AU4</f>
        <v>0</v>
      </c>
      <c r="C4">
        <f>'Quant analysis'!AV4</f>
        <v>0</v>
      </c>
      <c r="D4">
        <f>'Quant analysis'!AW4</f>
        <v>0</v>
      </c>
      <c r="E4">
        <f>'Quant analysis'!AX4</f>
        <v>0</v>
      </c>
      <c r="F4">
        <f>'Quant analysis'!AY4</f>
        <v>0</v>
      </c>
      <c r="G4">
        <f>'Quant analysis'!AZ4</f>
        <v>0</v>
      </c>
      <c r="H4">
        <f>'Quant analysis'!BA4</f>
        <v>0</v>
      </c>
      <c r="I4">
        <f>'Quant analysis'!BB4</f>
        <v>0</v>
      </c>
      <c r="J4">
        <f>'Quant analysis'!BC4</f>
        <v>0</v>
      </c>
      <c r="K4">
        <f>'Quant analysis'!BD4</f>
        <v>0</v>
      </c>
      <c r="L4">
        <f t="shared" si="0"/>
        <v>0</v>
      </c>
      <c r="M4" s="13">
        <f t="shared" si="1"/>
        <v>0</v>
      </c>
      <c r="N4">
        <f t="shared" si="2"/>
        <v>0</v>
      </c>
    </row>
    <row r="5" spans="1:14" x14ac:dyDescent="0.2">
      <c r="A5" t="s">
        <v>92</v>
      </c>
      <c r="B5">
        <f>'Quant analysis'!AU5</f>
        <v>0</v>
      </c>
      <c r="C5">
        <f>'Quant analysis'!AV5</f>
        <v>0</v>
      </c>
      <c r="D5">
        <f>'Quant analysis'!AW5</f>
        <v>0</v>
      </c>
      <c r="E5">
        <f>'Quant analysis'!AX5</f>
        <v>0</v>
      </c>
      <c r="F5">
        <f>'Quant analysis'!AY5</f>
        <v>0</v>
      </c>
      <c r="G5">
        <f>'Quant analysis'!AZ5</f>
        <v>0</v>
      </c>
      <c r="H5">
        <f>'Quant analysis'!BA5</f>
        <v>0</v>
      </c>
      <c r="I5">
        <f>'Quant analysis'!BB5</f>
        <v>0</v>
      </c>
      <c r="J5">
        <f>'Quant analysis'!BC5</f>
        <v>0</v>
      </c>
      <c r="K5">
        <f>'Quant analysis'!BD5</f>
        <v>0</v>
      </c>
      <c r="L5">
        <f t="shared" si="0"/>
        <v>0</v>
      </c>
      <c r="M5" s="13">
        <f t="shared" si="1"/>
        <v>0</v>
      </c>
      <c r="N5">
        <f t="shared" si="2"/>
        <v>0</v>
      </c>
    </row>
    <row r="6" spans="1:14" x14ac:dyDescent="0.2">
      <c r="A6" t="s">
        <v>133</v>
      </c>
      <c r="B6">
        <f>'Quant analysis'!AU6</f>
        <v>0</v>
      </c>
      <c r="C6">
        <f>'Quant analysis'!AV6</f>
        <v>0</v>
      </c>
      <c r="D6">
        <f>'Quant analysis'!AW6</f>
        <v>0</v>
      </c>
      <c r="E6">
        <f>'Quant analysis'!AX6</f>
        <v>0</v>
      </c>
      <c r="F6">
        <f>'Quant analysis'!AY6</f>
        <v>0</v>
      </c>
      <c r="G6">
        <f>'Quant analysis'!AZ6</f>
        <v>0</v>
      </c>
      <c r="H6">
        <f>'Quant analysis'!BA6</f>
        <v>0</v>
      </c>
      <c r="I6">
        <f>'Quant analysis'!BB6</f>
        <v>0</v>
      </c>
      <c r="J6">
        <f>'Quant analysis'!BC6</f>
        <v>0</v>
      </c>
      <c r="K6">
        <f>'Quant analysis'!BD6</f>
        <v>0</v>
      </c>
      <c r="L6">
        <f t="shared" si="0"/>
        <v>0</v>
      </c>
      <c r="M6" s="13">
        <f t="shared" si="1"/>
        <v>0</v>
      </c>
      <c r="N6">
        <f t="shared" si="2"/>
        <v>0</v>
      </c>
    </row>
    <row r="7" spans="1:14" x14ac:dyDescent="0.2">
      <c r="A7" t="s">
        <v>128</v>
      </c>
      <c r="B7">
        <f>'Quant analysis'!AU7</f>
        <v>0</v>
      </c>
      <c r="C7">
        <f>'Quant analysis'!AV7</f>
        <v>0</v>
      </c>
      <c r="D7">
        <f>'Quant analysis'!AW7</f>
        <v>0</v>
      </c>
      <c r="E7">
        <f>'Quant analysis'!AX7</f>
        <v>0</v>
      </c>
      <c r="F7">
        <f>'Quant analysis'!AY7</f>
        <v>0</v>
      </c>
      <c r="G7">
        <f>'Quant analysis'!AZ7</f>
        <v>0</v>
      </c>
      <c r="H7">
        <f>'Quant analysis'!BA7</f>
        <v>0</v>
      </c>
      <c r="I7">
        <f>'Quant analysis'!BB7</f>
        <v>0</v>
      </c>
      <c r="J7">
        <f>'Quant analysis'!BC7</f>
        <v>0</v>
      </c>
      <c r="K7">
        <f>'Quant analysis'!BD7</f>
        <v>0</v>
      </c>
      <c r="L7">
        <f t="shared" si="0"/>
        <v>0</v>
      </c>
      <c r="M7" s="13">
        <f t="shared" si="1"/>
        <v>0</v>
      </c>
      <c r="N7">
        <f t="shared" si="2"/>
        <v>0</v>
      </c>
    </row>
    <row r="8" spans="1:14" x14ac:dyDescent="0.2">
      <c r="A8" t="s">
        <v>112</v>
      </c>
      <c r="B8">
        <f>'Quant analysis'!AU8</f>
        <v>0</v>
      </c>
      <c r="C8">
        <f>'Quant analysis'!AV8</f>
        <v>0</v>
      </c>
      <c r="D8">
        <f>'Quant analysis'!AW8</f>
        <v>0</v>
      </c>
      <c r="E8">
        <f>'Quant analysis'!AX8</f>
        <v>0</v>
      </c>
      <c r="F8">
        <f>'Quant analysis'!AY8</f>
        <v>0</v>
      </c>
      <c r="G8">
        <f>'Quant analysis'!AZ8</f>
        <v>0</v>
      </c>
      <c r="H8">
        <f>'Quant analysis'!BA8</f>
        <v>0</v>
      </c>
      <c r="I8">
        <f>'Quant analysis'!BB8</f>
        <v>0</v>
      </c>
      <c r="J8">
        <f>'Quant analysis'!BC8</f>
        <v>0</v>
      </c>
      <c r="K8">
        <f>'Quant analysis'!BD8</f>
        <v>0</v>
      </c>
      <c r="L8">
        <f t="shared" si="0"/>
        <v>0</v>
      </c>
      <c r="M8" s="13">
        <f t="shared" si="1"/>
        <v>0</v>
      </c>
      <c r="N8">
        <f t="shared" si="2"/>
        <v>0</v>
      </c>
    </row>
    <row r="9" spans="1:14" x14ac:dyDescent="0.2">
      <c r="A9" t="s">
        <v>139</v>
      </c>
      <c r="B9">
        <f>'Quant analysis'!AU9</f>
        <v>0</v>
      </c>
      <c r="C9">
        <f>'Quant analysis'!AV9</f>
        <v>0</v>
      </c>
      <c r="D9">
        <f>'Quant analysis'!AW9</f>
        <v>0</v>
      </c>
      <c r="E9">
        <f>'Quant analysis'!AX9</f>
        <v>0</v>
      </c>
      <c r="F9">
        <f>'Quant analysis'!AY9</f>
        <v>0</v>
      </c>
      <c r="G9">
        <f>'Quant analysis'!AZ9</f>
        <v>0</v>
      </c>
      <c r="H9">
        <f>'Quant analysis'!BA9</f>
        <v>0</v>
      </c>
      <c r="I9">
        <f>'Quant analysis'!BB9</f>
        <v>0</v>
      </c>
      <c r="J9">
        <f>'Quant analysis'!BC9</f>
        <v>0</v>
      </c>
      <c r="K9">
        <f>'Quant analysis'!BD9</f>
        <v>0</v>
      </c>
      <c r="L9">
        <f t="shared" si="0"/>
        <v>0</v>
      </c>
      <c r="M9" s="13">
        <f t="shared" si="1"/>
        <v>0</v>
      </c>
      <c r="N9">
        <f t="shared" si="2"/>
        <v>0</v>
      </c>
    </row>
    <row r="10" spans="1:14" x14ac:dyDescent="0.2">
      <c r="B10" s="13">
        <f t="shared" ref="B10:M10" si="3">SUM(B2:B9)</f>
        <v>0</v>
      </c>
      <c r="C10" s="13">
        <f t="shared" si="3"/>
        <v>0</v>
      </c>
      <c r="D10" s="13">
        <f t="shared" si="3"/>
        <v>0</v>
      </c>
      <c r="E10" s="13">
        <f t="shared" si="3"/>
        <v>0</v>
      </c>
      <c r="F10" s="13">
        <f t="shared" si="3"/>
        <v>0</v>
      </c>
      <c r="G10" s="13">
        <f t="shared" si="3"/>
        <v>0</v>
      </c>
      <c r="H10" s="13">
        <f t="shared" si="3"/>
        <v>0</v>
      </c>
      <c r="I10" s="13">
        <f t="shared" si="3"/>
        <v>0</v>
      </c>
      <c r="J10" s="13">
        <f t="shared" si="3"/>
        <v>0</v>
      </c>
      <c r="K10" s="13">
        <f t="shared" si="3"/>
        <v>0</v>
      </c>
      <c r="L10" s="13">
        <f t="shared" si="3"/>
        <v>0</v>
      </c>
      <c r="M10" s="13">
        <f t="shared" si="3"/>
        <v>0</v>
      </c>
      <c r="N10">
        <f t="shared" si="2"/>
        <v>0</v>
      </c>
    </row>
    <row r="11" spans="1:14" ht="18" x14ac:dyDescent="0.2">
      <c r="A11" t="s">
        <v>353</v>
      </c>
      <c r="B11" t="s">
        <v>354</v>
      </c>
    </row>
    <row r="12" spans="1:14" x14ac:dyDescent="0.2">
      <c r="A12" s="13" t="s">
        <v>352</v>
      </c>
      <c r="B12" s="13" t="s">
        <v>233</v>
      </c>
      <c r="C12" s="13" t="s">
        <v>135</v>
      </c>
      <c r="D12" s="13" t="s">
        <v>159</v>
      </c>
      <c r="E12" s="13" t="s">
        <v>142</v>
      </c>
      <c r="F12" s="13" t="s">
        <v>109</v>
      </c>
      <c r="G12" s="13" t="s">
        <v>157</v>
      </c>
      <c r="H12" s="13" t="s">
        <v>177</v>
      </c>
      <c r="I12" s="13" t="s">
        <v>100</v>
      </c>
      <c r="J12" s="13" t="s">
        <v>149</v>
      </c>
      <c r="K12" s="13" t="s">
        <v>93</v>
      </c>
      <c r="L12" s="13" t="s">
        <v>355</v>
      </c>
    </row>
    <row r="13" spans="1:14" x14ac:dyDescent="0.2">
      <c r="A13" t="s">
        <v>103</v>
      </c>
      <c r="B13" s="114">
        <f t="shared" ref="B13:L13" si="4">2*SQRT(B2/PI())</f>
        <v>0</v>
      </c>
      <c r="C13" s="114">
        <f t="shared" si="4"/>
        <v>0</v>
      </c>
      <c r="D13" s="114">
        <f t="shared" si="4"/>
        <v>0</v>
      </c>
      <c r="E13" s="114">
        <f t="shared" si="4"/>
        <v>0</v>
      </c>
      <c r="F13" s="114">
        <f t="shared" si="4"/>
        <v>0</v>
      </c>
      <c r="G13" s="114">
        <f t="shared" si="4"/>
        <v>0</v>
      </c>
      <c r="H13" s="114">
        <f t="shared" si="4"/>
        <v>0</v>
      </c>
      <c r="I13" s="114">
        <f t="shared" si="4"/>
        <v>0</v>
      </c>
      <c r="J13" s="114">
        <f t="shared" si="4"/>
        <v>0</v>
      </c>
      <c r="K13" s="114">
        <f t="shared" si="4"/>
        <v>0</v>
      </c>
      <c r="L13" s="114">
        <f t="shared" si="4"/>
        <v>0</v>
      </c>
      <c r="M13" s="133"/>
      <c r="N13" s="114">
        <f t="shared" ref="N13" si="5">2*SQRT(N2/PI())</f>
        <v>0</v>
      </c>
    </row>
    <row r="14" spans="1:14" x14ac:dyDescent="0.2">
      <c r="A14" t="s">
        <v>102</v>
      </c>
      <c r="B14" s="114">
        <f t="shared" ref="B14:L14" si="6">2*SQRT(B3/PI())</f>
        <v>0</v>
      </c>
      <c r="C14" s="114">
        <f t="shared" si="6"/>
        <v>0</v>
      </c>
      <c r="D14" s="114">
        <f t="shared" si="6"/>
        <v>0</v>
      </c>
      <c r="E14" s="114">
        <f t="shared" si="6"/>
        <v>0</v>
      </c>
      <c r="F14" s="114">
        <f t="shared" si="6"/>
        <v>0</v>
      </c>
      <c r="G14" s="114">
        <f t="shared" si="6"/>
        <v>0</v>
      </c>
      <c r="H14" s="114">
        <f t="shared" si="6"/>
        <v>0</v>
      </c>
      <c r="I14" s="114">
        <f t="shared" si="6"/>
        <v>0</v>
      </c>
      <c r="J14" s="114">
        <f t="shared" si="6"/>
        <v>0</v>
      </c>
      <c r="K14" s="114">
        <f t="shared" si="6"/>
        <v>0</v>
      </c>
      <c r="L14" s="114">
        <f t="shared" si="6"/>
        <v>0</v>
      </c>
      <c r="M14" s="133"/>
      <c r="N14" s="114">
        <f t="shared" ref="N14" si="7">2*SQRT(N3/PI())</f>
        <v>0</v>
      </c>
    </row>
    <row r="15" spans="1:14" x14ac:dyDescent="0.2">
      <c r="A15" t="s">
        <v>125</v>
      </c>
      <c r="B15" s="114">
        <f t="shared" ref="B15:L15" si="8">2*SQRT(B4/PI())</f>
        <v>0</v>
      </c>
      <c r="C15" s="114">
        <f t="shared" si="8"/>
        <v>0</v>
      </c>
      <c r="D15" s="114">
        <f t="shared" si="8"/>
        <v>0</v>
      </c>
      <c r="E15" s="114">
        <f t="shared" si="8"/>
        <v>0</v>
      </c>
      <c r="F15" s="114">
        <f t="shared" si="8"/>
        <v>0</v>
      </c>
      <c r="G15" s="114">
        <f t="shared" si="8"/>
        <v>0</v>
      </c>
      <c r="H15" s="114">
        <f t="shared" si="8"/>
        <v>0</v>
      </c>
      <c r="I15" s="114">
        <f t="shared" si="8"/>
        <v>0</v>
      </c>
      <c r="J15" s="114">
        <f t="shared" si="8"/>
        <v>0</v>
      </c>
      <c r="K15" s="114">
        <f t="shared" si="8"/>
        <v>0</v>
      </c>
      <c r="L15" s="114">
        <f t="shared" si="8"/>
        <v>0</v>
      </c>
      <c r="M15" s="133"/>
      <c r="N15" s="114">
        <f t="shared" ref="N15" si="9">2*SQRT(N4/PI())</f>
        <v>0</v>
      </c>
    </row>
    <row r="16" spans="1:14" x14ac:dyDescent="0.2">
      <c r="A16" t="s">
        <v>92</v>
      </c>
      <c r="B16" s="114">
        <f t="shared" ref="B16:L16" si="10">2*SQRT(B5/PI())</f>
        <v>0</v>
      </c>
      <c r="C16" s="114">
        <f t="shared" si="10"/>
        <v>0</v>
      </c>
      <c r="D16" s="114">
        <f t="shared" si="10"/>
        <v>0</v>
      </c>
      <c r="E16" s="114">
        <f t="shared" si="10"/>
        <v>0</v>
      </c>
      <c r="F16" s="114">
        <f t="shared" si="10"/>
        <v>0</v>
      </c>
      <c r="G16" s="114">
        <f t="shared" si="10"/>
        <v>0</v>
      </c>
      <c r="H16" s="114">
        <f t="shared" si="10"/>
        <v>0</v>
      </c>
      <c r="I16" s="114">
        <f t="shared" si="10"/>
        <v>0</v>
      </c>
      <c r="J16" s="114">
        <f t="shared" si="10"/>
        <v>0</v>
      </c>
      <c r="K16" s="114">
        <f t="shared" si="10"/>
        <v>0</v>
      </c>
      <c r="L16" s="114">
        <f t="shared" si="10"/>
        <v>0</v>
      </c>
      <c r="M16" s="133"/>
      <c r="N16" s="114">
        <f t="shared" ref="N16" si="11">2*SQRT(N5/PI())</f>
        <v>0</v>
      </c>
    </row>
    <row r="17" spans="1:14" x14ac:dyDescent="0.2">
      <c r="A17" t="s">
        <v>133</v>
      </c>
      <c r="B17" s="114">
        <f t="shared" ref="B17:L17" si="12">2*SQRT(B6/PI())</f>
        <v>0</v>
      </c>
      <c r="C17" s="114">
        <f t="shared" si="12"/>
        <v>0</v>
      </c>
      <c r="D17" s="114">
        <f t="shared" si="12"/>
        <v>0</v>
      </c>
      <c r="E17" s="114">
        <f t="shared" si="12"/>
        <v>0</v>
      </c>
      <c r="F17" s="114">
        <f t="shared" si="12"/>
        <v>0</v>
      </c>
      <c r="G17" s="114">
        <f t="shared" si="12"/>
        <v>0</v>
      </c>
      <c r="H17" s="114">
        <f t="shared" si="12"/>
        <v>0</v>
      </c>
      <c r="I17" s="114">
        <f t="shared" si="12"/>
        <v>0</v>
      </c>
      <c r="J17" s="114">
        <f t="shared" si="12"/>
        <v>0</v>
      </c>
      <c r="K17" s="114">
        <f t="shared" si="12"/>
        <v>0</v>
      </c>
      <c r="L17" s="114">
        <f t="shared" si="12"/>
        <v>0</v>
      </c>
      <c r="M17" s="133"/>
      <c r="N17" s="114">
        <f t="shared" ref="N17" si="13">2*SQRT(N6/PI())</f>
        <v>0</v>
      </c>
    </row>
    <row r="18" spans="1:14" x14ac:dyDescent="0.2">
      <c r="A18" t="s">
        <v>128</v>
      </c>
      <c r="B18" s="114">
        <f t="shared" ref="B18:L18" si="14">2*SQRT(B7/PI())</f>
        <v>0</v>
      </c>
      <c r="C18" s="114">
        <f t="shared" si="14"/>
        <v>0</v>
      </c>
      <c r="D18" s="114">
        <f t="shared" si="14"/>
        <v>0</v>
      </c>
      <c r="E18" s="114">
        <f t="shared" si="14"/>
        <v>0</v>
      </c>
      <c r="F18" s="114">
        <f t="shared" si="14"/>
        <v>0</v>
      </c>
      <c r="G18" s="114">
        <f t="shared" si="14"/>
        <v>0</v>
      </c>
      <c r="H18" s="114">
        <f t="shared" si="14"/>
        <v>0</v>
      </c>
      <c r="I18" s="114">
        <f t="shared" si="14"/>
        <v>0</v>
      </c>
      <c r="J18" s="114">
        <f t="shared" si="14"/>
        <v>0</v>
      </c>
      <c r="K18" s="114">
        <f t="shared" si="14"/>
        <v>0</v>
      </c>
      <c r="L18" s="114">
        <f t="shared" si="14"/>
        <v>0</v>
      </c>
      <c r="M18" s="133"/>
      <c r="N18" s="114">
        <f t="shared" ref="N18" si="15">2*SQRT(N7/PI())</f>
        <v>0</v>
      </c>
    </row>
    <row r="19" spans="1:14" x14ac:dyDescent="0.2">
      <c r="A19" t="s">
        <v>112</v>
      </c>
      <c r="B19" s="114">
        <f t="shared" ref="B19:L19" si="16">2*SQRT(B8/PI())</f>
        <v>0</v>
      </c>
      <c r="C19" s="114">
        <f t="shared" si="16"/>
        <v>0</v>
      </c>
      <c r="D19" s="114">
        <f t="shared" si="16"/>
        <v>0</v>
      </c>
      <c r="E19" s="114">
        <f t="shared" si="16"/>
        <v>0</v>
      </c>
      <c r="F19" s="114">
        <f t="shared" si="16"/>
        <v>0</v>
      </c>
      <c r="G19" s="114">
        <f t="shared" si="16"/>
        <v>0</v>
      </c>
      <c r="H19" s="114">
        <f t="shared" si="16"/>
        <v>0</v>
      </c>
      <c r="I19" s="114">
        <f t="shared" si="16"/>
        <v>0</v>
      </c>
      <c r="J19" s="114">
        <f t="shared" si="16"/>
        <v>0</v>
      </c>
      <c r="K19" s="114">
        <f t="shared" si="16"/>
        <v>0</v>
      </c>
      <c r="L19" s="114">
        <f t="shared" si="16"/>
        <v>0</v>
      </c>
      <c r="M19" s="133"/>
      <c r="N19" s="114">
        <f t="shared" ref="N19" si="17">2*SQRT(N8/PI())</f>
        <v>0</v>
      </c>
    </row>
    <row r="20" spans="1:14" x14ac:dyDescent="0.2">
      <c r="A20" t="s">
        <v>139</v>
      </c>
      <c r="B20" s="114">
        <f t="shared" ref="B20:L20" si="18">2*SQRT(B9/PI())</f>
        <v>0</v>
      </c>
      <c r="C20" s="114">
        <f t="shared" si="18"/>
        <v>0</v>
      </c>
      <c r="D20" s="114">
        <f t="shared" si="18"/>
        <v>0</v>
      </c>
      <c r="E20" s="114">
        <f t="shared" si="18"/>
        <v>0</v>
      </c>
      <c r="F20" s="114">
        <f t="shared" si="18"/>
        <v>0</v>
      </c>
      <c r="G20" s="114">
        <f t="shared" si="18"/>
        <v>0</v>
      </c>
      <c r="H20" s="114">
        <f t="shared" si="18"/>
        <v>0</v>
      </c>
      <c r="I20" s="114">
        <f t="shared" si="18"/>
        <v>0</v>
      </c>
      <c r="J20" s="114">
        <f t="shared" si="18"/>
        <v>0</v>
      </c>
      <c r="K20" s="114">
        <f t="shared" si="18"/>
        <v>0</v>
      </c>
      <c r="L20" s="114">
        <f t="shared" si="18"/>
        <v>0</v>
      </c>
      <c r="M20" s="133"/>
      <c r="N20" s="114">
        <f t="shared" ref="N20" si="19">2*SQRT(N9/PI())</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6557-32CE-449C-8C42-A5D09B885969}">
  <dimension ref="A1:AY66"/>
  <sheetViews>
    <sheetView showGridLines="0" topLeftCell="AK1" zoomScale="90" zoomScaleNormal="90" workbookViewId="0">
      <pane ySplit="1" topLeftCell="A2" activePane="bottomLeft" state="frozen"/>
      <selection activeCell="AM1" sqref="AM1"/>
      <selection pane="bottomLeft" activeCell="AX15" sqref="AX15"/>
    </sheetView>
  </sheetViews>
  <sheetFormatPr baseColWidth="10" defaultColWidth="8.83203125" defaultRowHeight="16" x14ac:dyDescent="0.2"/>
  <cols>
    <col min="1" max="1" width="15.5" hidden="1" customWidth="1"/>
    <col min="2" max="7" width="5" hidden="1" customWidth="1"/>
    <col min="8" max="8" width="2.5" hidden="1" customWidth="1"/>
    <col min="9" max="9" width="15.5" hidden="1" customWidth="1"/>
    <col min="10" max="15" width="5" hidden="1" customWidth="1"/>
    <col min="16" max="16" width="2.5" hidden="1" customWidth="1"/>
    <col min="17" max="17" width="15.5" hidden="1" customWidth="1"/>
    <col min="18" max="23" width="5" hidden="1" customWidth="1"/>
    <col min="24" max="24" width="2.5" hidden="1" customWidth="1"/>
    <col min="25" max="25" width="15.5" hidden="1" customWidth="1"/>
    <col min="26" max="26" width="3.5" hidden="1" customWidth="1"/>
    <col min="27" max="29" width="4.83203125" hidden="1" customWidth="1"/>
    <col min="30" max="31" width="5" style="134" hidden="1" customWidth="1"/>
    <col min="32" max="32" width="3.83203125" style="134" hidden="1" customWidth="1"/>
    <col min="33" max="33" width="8.33203125" style="134" hidden="1" customWidth="1"/>
    <col min="34" max="35" width="0" hidden="1" customWidth="1"/>
    <col min="36" max="36" width="12.1640625" customWidth="1"/>
    <col min="37" max="37" width="17.83203125" customWidth="1"/>
    <col min="38" max="38" width="40.83203125" customWidth="1"/>
    <col min="39" max="40" width="3.1640625" bestFit="1" customWidth="1"/>
    <col min="41" max="41" width="2.83203125" bestFit="1" customWidth="1"/>
    <col min="42" max="43" width="3.83203125" bestFit="1" customWidth="1"/>
    <col min="45" max="45" width="3.83203125" bestFit="1" customWidth="1"/>
    <col min="46" max="50" width="38.5" style="152" customWidth="1"/>
  </cols>
  <sheetData>
    <row r="1" spans="1:51" x14ac:dyDescent="0.2">
      <c r="A1" s="13" t="s">
        <v>313</v>
      </c>
      <c r="AJ1" s="54"/>
      <c r="AK1" s="54"/>
      <c r="AL1" s="150" t="s">
        <v>387</v>
      </c>
      <c r="AM1" s="146" t="s">
        <v>374</v>
      </c>
      <c r="AN1" s="146" t="s">
        <v>391</v>
      </c>
      <c r="AO1" s="146" t="s">
        <v>392</v>
      </c>
      <c r="AP1" s="146" t="s">
        <v>375</v>
      </c>
      <c r="AQ1" s="146" t="s">
        <v>376</v>
      </c>
      <c r="AR1" s="146" t="s">
        <v>377</v>
      </c>
      <c r="AT1" s="153" t="s">
        <v>135</v>
      </c>
      <c r="AU1" s="153" t="s">
        <v>109</v>
      </c>
      <c r="AV1" s="153" t="s">
        <v>142</v>
      </c>
      <c r="AW1" s="153" t="s">
        <v>157</v>
      </c>
      <c r="AX1" s="153" t="s">
        <v>94</v>
      </c>
    </row>
    <row r="2" spans="1:51" x14ac:dyDescent="0.2">
      <c r="A2" s="89" t="s">
        <v>119</v>
      </c>
      <c r="B2" s="89"/>
      <c r="C2" s="89"/>
      <c r="D2" s="89"/>
      <c r="E2" s="89"/>
      <c r="F2" s="89"/>
      <c r="G2" s="89"/>
      <c r="H2" s="89"/>
      <c r="I2" s="89"/>
      <c r="J2" s="89"/>
      <c r="K2" s="89"/>
      <c r="L2" s="89"/>
      <c r="M2" s="89"/>
      <c r="N2" s="89"/>
      <c r="O2" s="89"/>
      <c r="P2" s="89"/>
      <c r="Q2" s="89"/>
      <c r="R2" s="89"/>
      <c r="S2" s="89"/>
      <c r="T2" s="89"/>
      <c r="U2" s="89"/>
      <c r="V2" s="89"/>
      <c r="W2" s="89"/>
      <c r="AJ2" s="54"/>
      <c r="AK2" s="54"/>
      <c r="AL2" s="147" t="s">
        <v>223</v>
      </c>
      <c r="AM2" s="146">
        <f>'Quant analysis'!AV10</f>
        <v>0</v>
      </c>
      <c r="AN2" s="146">
        <f>'Quant analysis'!AW10</f>
        <v>0</v>
      </c>
      <c r="AO2" s="146">
        <f>'Quant analysis'!AX10</f>
        <v>0</v>
      </c>
      <c r="AP2" s="146">
        <f>'Quant analysis'!AY10</f>
        <v>0</v>
      </c>
      <c r="AQ2" s="146">
        <f>'Quant analysis'!AZ10</f>
        <v>0</v>
      </c>
      <c r="AR2" s="146">
        <f>SUM('Quant analysis'!BA10:BD10)</f>
        <v>0</v>
      </c>
      <c r="AS2">
        <f>SUM(AM2:AR2)</f>
        <v>0</v>
      </c>
    </row>
    <row r="3" spans="1:51" ht="17" thickBot="1" x14ac:dyDescent="0.25">
      <c r="A3" s="44" t="s">
        <v>314</v>
      </c>
      <c r="AJ3" s="54"/>
      <c r="AK3" s="54"/>
      <c r="AL3" s="151" t="s">
        <v>390</v>
      </c>
      <c r="AM3" s="141">
        <f>SUM(AM7:AM11)</f>
        <v>4</v>
      </c>
      <c r="AN3" s="141">
        <f t="shared" ref="AN3:AQ3" si="0">SUM(AN7:AN11)</f>
        <v>1</v>
      </c>
      <c r="AO3" s="141">
        <f t="shared" si="0"/>
        <v>0</v>
      </c>
      <c r="AP3" s="141">
        <f t="shared" si="0"/>
        <v>7</v>
      </c>
      <c r="AQ3" s="141">
        <f t="shared" si="0"/>
        <v>8</v>
      </c>
      <c r="AR3" s="141">
        <f>SUM(AR12:AR15)</f>
        <v>0</v>
      </c>
    </row>
    <row r="4" spans="1:51" x14ac:dyDescent="0.2">
      <c r="A4" s="70" t="s">
        <v>109</v>
      </c>
      <c r="B4" s="71"/>
      <c r="C4" s="71"/>
      <c r="D4" s="71"/>
      <c r="E4" s="71"/>
      <c r="F4" s="71"/>
      <c r="G4" s="72"/>
      <c r="I4" s="70" t="s">
        <v>135</v>
      </c>
      <c r="J4" s="71"/>
      <c r="K4" s="71"/>
      <c r="L4" s="71"/>
      <c r="M4" s="71"/>
      <c r="N4" s="71"/>
      <c r="O4" s="72"/>
      <c r="Q4" s="70" t="s">
        <v>157</v>
      </c>
      <c r="R4" s="71"/>
      <c r="S4" s="71"/>
      <c r="T4" s="71"/>
      <c r="U4" s="71"/>
      <c r="V4" s="71"/>
      <c r="W4" s="72"/>
      <c r="AJ4" s="54"/>
      <c r="AK4" s="54"/>
      <c r="AL4" s="151" t="s">
        <v>139</v>
      </c>
      <c r="AM4" s="141">
        <f>'Quant analysis'!AV9</f>
        <v>0</v>
      </c>
      <c r="AN4" s="141">
        <f>'Quant analysis'!AW9</f>
        <v>0</v>
      </c>
      <c r="AO4" s="141">
        <f>'Quant analysis'!AX9</f>
        <v>0</v>
      </c>
      <c r="AP4" s="141">
        <f>'Quant analysis'!AY9</f>
        <v>0</v>
      </c>
      <c r="AQ4" s="141">
        <f>'Quant analysis'!AZ9</f>
        <v>0</v>
      </c>
      <c r="AR4" s="141"/>
    </row>
    <row r="5" spans="1:51" x14ac:dyDescent="0.2">
      <c r="A5" s="73"/>
      <c r="B5" s="55" t="s">
        <v>315</v>
      </c>
      <c r="C5" s="55" t="s">
        <v>2</v>
      </c>
      <c r="D5" s="55" t="s">
        <v>3</v>
      </c>
      <c r="E5" s="55" t="s">
        <v>4</v>
      </c>
      <c r="F5" s="55" t="s">
        <v>5</v>
      </c>
      <c r="G5" s="76" t="s">
        <v>6</v>
      </c>
      <c r="I5" s="73"/>
      <c r="J5" s="55" t="s">
        <v>315</v>
      </c>
      <c r="K5" s="55" t="s">
        <v>2</v>
      </c>
      <c r="L5" s="55" t="s">
        <v>3</v>
      </c>
      <c r="M5" s="55" t="s">
        <v>4</v>
      </c>
      <c r="N5" s="55" t="s">
        <v>5</v>
      </c>
      <c r="O5" s="76" t="s">
        <v>6</v>
      </c>
      <c r="Q5" s="73"/>
      <c r="R5" s="55" t="s">
        <v>315</v>
      </c>
      <c r="S5" s="55" t="s">
        <v>2</v>
      </c>
      <c r="T5" s="55" t="s">
        <v>3</v>
      </c>
      <c r="U5" s="55" t="s">
        <v>4</v>
      </c>
      <c r="V5" s="55" t="s">
        <v>5</v>
      </c>
      <c r="W5" s="76" t="s">
        <v>6</v>
      </c>
      <c r="AJ5" s="54"/>
      <c r="AK5" s="54"/>
      <c r="AL5" s="151" t="s">
        <v>389</v>
      </c>
      <c r="AM5" s="141">
        <v>4</v>
      </c>
      <c r="AN5" s="141">
        <v>1</v>
      </c>
      <c r="AO5" s="141">
        <v>0</v>
      </c>
      <c r="AP5" s="141">
        <v>4</v>
      </c>
      <c r="AQ5" s="141">
        <v>8</v>
      </c>
      <c r="AR5" s="141"/>
    </row>
    <row r="6" spans="1:51" ht="17" thickBot="1" x14ac:dyDescent="0.25">
      <c r="A6" s="73" t="s">
        <v>103</v>
      </c>
      <c r="B6" s="54">
        <f>COUNTIFS(Table1[Finalized?],"Yes",Table1[Type of behavior change],"Commitment",Table1[Country/ Region/ Global],"Kenya")</f>
        <v>0</v>
      </c>
      <c r="C6" s="54">
        <f>COUNTIFS(Table1[Finalized?],"Yes",Table1[Type of behavior change],A6,Table1[Country/ Region/ Global],A$4,Table1[Date of outcome],"FY19**")</f>
        <v>0</v>
      </c>
      <c r="D6" s="54">
        <f>COUNTIFS(Table1[Finalized?],"Yes",Table1[Type of behavior change],A6,Table1[Country/ Region/ Global],A$4,Table1[Date of outcome],"FY20**")</f>
        <v>0</v>
      </c>
      <c r="E6" s="54">
        <f>COUNTIFS(Table1[Finalized?],"Yes",Table1[Type of behavior change],A6,Table1[Country/ Region/ Global],A$4,Table1[Date of outcome],"FY21**")</f>
        <v>0</v>
      </c>
      <c r="F6" s="54">
        <f>COUNTIFS(Table1[Finalized?],"Yes",Table1[Type of behavior change],A6,Table1[Country/ Region/ Global],A$4,Table1[Date of outcome],"FY22**")</f>
        <v>0</v>
      </c>
      <c r="G6" s="88">
        <f>COUNTIFS(Table1[Finalized?],"Yes",Table1[Type of behavior change],A6,Table1[Country/ Region/ Global],A$4,Table1[Date of outcome],"FY23**")</f>
        <v>0</v>
      </c>
      <c r="I6" s="73" t="s">
        <v>103</v>
      </c>
      <c r="J6" s="54">
        <f>COUNTIFS(Table1[Finalized?],"Yes",Table1[Type of behavior change],"Commitment",Table1[Country/ Region/ Global],"Guatemala")</f>
        <v>0</v>
      </c>
      <c r="K6" s="54">
        <f>COUNTIFS(Table1[Finalized?],"Yes",Table1[Type of behavior change],I6,Table1[Country/ Region/ Global],I$4,Table1[Date of outcome],"FY19**")</f>
        <v>0</v>
      </c>
      <c r="L6" s="54">
        <f>COUNTIFS(Table1[Finalized?],"Yes",Table1[Type of behavior change],I6,Table1[Country/ Region/ Global],I$4,Table1[Date of outcome],"FY20**")</f>
        <v>0</v>
      </c>
      <c r="M6" s="54">
        <f>COUNTIFS(Table1[Finalized?],"Yes",Table1[Type of behavior change],I6,Table1[Country/ Region/ Global],I$4,Table1[Date of outcome],"FY21**")</f>
        <v>0</v>
      </c>
      <c r="N6" s="54">
        <f>COUNTIFS(Table1[Finalized?],"Yes",Table1[Type of behavior change],I6,Table1[Country/ Region/ Global],I$4,Table1[Date of outcome],"FY22**")</f>
        <v>0</v>
      </c>
      <c r="O6" s="88">
        <f>COUNTIFS(Table1[Finalized?],"Yes",Table1[Type of behavior change],I6,Table1[Country/ Region/ Global],I$4,Table1[Date of outcome],"FY23**")</f>
        <v>0</v>
      </c>
      <c r="Q6" s="73" t="s">
        <v>103</v>
      </c>
      <c r="R6" s="54">
        <f>COUNTIFS(Table1[Finalized?],"Yes",Table1[Type of behavior change],"Commitment",Table1[Country/ Region/ Global],"Moldova")</f>
        <v>0</v>
      </c>
      <c r="S6" s="54">
        <f>COUNTIFS(Table1[Finalized?],"Yes",Table1[Type of behavior change],Q6,Table1[Country/ Region/ Global],Q$4,Table1[Date of outcome],"FY19**")</f>
        <v>0</v>
      </c>
      <c r="T6" s="54">
        <f>COUNTIFS(Table1[Finalized?],"Yes",Table1[Type of behavior change],Q6,Table1[Country/ Region/ Global],Q$4,Table1[Date of outcome],"FY20**")</f>
        <v>0</v>
      </c>
      <c r="U6" s="54">
        <f>COUNTIFS(Table1[Finalized?],"Yes",Table1[Type of behavior change],Q6,Table1[Country/ Region/ Global],Q$4,Table1[Date of outcome],"FY21**")</f>
        <v>0</v>
      </c>
      <c r="V6" s="54">
        <f>COUNTIFS(Table1[Finalized?],"Yes",Table1[Type of behavior change],Q6,Table1[Country/ Region/ Global],Q$4,Table1[Date of outcome],"FY22**")</f>
        <v>0</v>
      </c>
      <c r="W6" s="88">
        <f>COUNTIFS(Table1[Finalized?],"Yes",Table1[Type of behavior change],Q6,Table1[Country/ Region/ Global],Q$4,Table1[Date of outcome],"FY23**")</f>
        <v>0</v>
      </c>
      <c r="AJ6" s="54"/>
      <c r="AK6" s="54"/>
      <c r="AL6" s="151" t="s">
        <v>388</v>
      </c>
      <c r="AM6" s="141">
        <v>0</v>
      </c>
      <c r="AN6" s="141">
        <v>0</v>
      </c>
      <c r="AO6" s="141">
        <v>0</v>
      </c>
      <c r="AP6" s="141">
        <v>3</v>
      </c>
      <c r="AQ6" s="141">
        <v>0</v>
      </c>
      <c r="AR6" s="141"/>
    </row>
    <row r="7" spans="1:51" ht="169" thickBot="1" x14ac:dyDescent="0.25">
      <c r="A7" s="73" t="s">
        <v>102</v>
      </c>
      <c r="B7" s="54">
        <f>COUNTIFS(Table1[Finalized?],"Yes",Table1[Type of behavior change],"Coordination",Table1[Country/ Region/ Global],"Kenya")</f>
        <v>0</v>
      </c>
      <c r="C7" s="54">
        <f>COUNTIFS(Table1[Finalized?],"Yes",Table1[Type of behavior change],A7,Table1[Country/ Region/ Global],A$4,Table1[Date of outcome],"FY19**")</f>
        <v>0</v>
      </c>
      <c r="D7" s="54">
        <f>COUNTIFS(Table1[Finalized?],"Yes",Table1[Type of behavior change],A7,Table1[Country/ Region/ Global],A$4,Table1[Date of outcome],"FY20**")</f>
        <v>0</v>
      </c>
      <c r="E7" s="54">
        <f>COUNTIFS(Table1[Finalized?],"Yes",Table1[Type of behavior change],A7,Table1[Country/ Region/ Global],A$4,Table1[Date of outcome],"FY21**")</f>
        <v>0</v>
      </c>
      <c r="F7" s="54">
        <f>COUNTIFS(Table1[Finalized?],"Yes",Table1[Type of behavior change],A7,Table1[Country/ Region/ Global],A$4,Table1[Date of outcome],"FY22**")</f>
        <v>0</v>
      </c>
      <c r="G7" s="88">
        <f>COUNTIFS(Table1[Finalized?],"Yes",Table1[Type of behavior change],A7,Table1[Country/ Region/ Global],A$4,Table1[Date of outcome],"FY23**")</f>
        <v>0</v>
      </c>
      <c r="I7" s="73" t="s">
        <v>102</v>
      </c>
      <c r="J7" s="54">
        <f>COUNTIFS(Table1[Finalized?],"Yes",Table1[Type of behavior change],"Coordination",Table1[Country/ Region/ Global],"Guatemala")</f>
        <v>0</v>
      </c>
      <c r="K7" s="54">
        <f>COUNTIFS(Table1[Finalized?],"Yes",Table1[Type of behavior change],I7,Table1[Country/ Region/ Global],I$4,Table1[Date of outcome],"FY19**")</f>
        <v>0</v>
      </c>
      <c r="L7" s="54">
        <f>COUNTIFS(Table1[Finalized?],"Yes",Table1[Type of behavior change],I7,Table1[Country/ Region/ Global],I$4,Table1[Date of outcome],"FY20**")</f>
        <v>0</v>
      </c>
      <c r="M7" s="54">
        <f>COUNTIFS(Table1[Finalized?],"Yes",Table1[Type of behavior change],I7,Table1[Country/ Region/ Global],I$4,Table1[Date of outcome],"FY21**")</f>
        <v>0</v>
      </c>
      <c r="N7" s="54">
        <f>COUNTIFS(Table1[Finalized?],"Yes",Table1[Type of behavior change],I7,Table1[Country/ Region/ Global],I$4,Table1[Date of outcome],"FY22**")</f>
        <v>0</v>
      </c>
      <c r="O7" s="88">
        <f>COUNTIFS(Table1[Finalized?],"Yes",Table1[Type of behavior change],I7,Table1[Country/ Region/ Global],I$4,Table1[Date of outcome],"FY23**")</f>
        <v>0</v>
      </c>
      <c r="Q7" s="73" t="s">
        <v>102</v>
      </c>
      <c r="R7" s="54">
        <f>COUNTIFS(Table1[Finalized?],"Yes",Table1[Type of behavior change],"Coordination",Table1[Country/ Region/ Global],"Moldova")</f>
        <v>0</v>
      </c>
      <c r="S7" s="54">
        <f>COUNTIFS(Table1[Finalized?],"Yes",Table1[Type of behavior change],Q7,Table1[Country/ Region/ Global],Q$4,Table1[Date of outcome],"FY19**")</f>
        <v>0</v>
      </c>
      <c r="T7" s="54">
        <f>COUNTIFS(Table1[Finalized?],"Yes",Table1[Type of behavior change],Q7,Table1[Country/ Region/ Global],Q$4,Table1[Date of outcome],"FY20**")</f>
        <v>0</v>
      </c>
      <c r="U7" s="54">
        <f>COUNTIFS(Table1[Finalized?],"Yes",Table1[Type of behavior change],Q7,Table1[Country/ Region/ Global],Q$4,Table1[Date of outcome],"FY21**")</f>
        <v>0</v>
      </c>
      <c r="V7" s="54">
        <f>COUNTIFS(Table1[Finalized?],"Yes",Table1[Type of behavior change],Q7,Table1[Country/ Region/ Global],Q$4,Table1[Date of outcome],"FY22**")</f>
        <v>0</v>
      </c>
      <c r="W7" s="88">
        <f>COUNTIFS(Table1[Finalized?],"Yes",Table1[Type of behavior change],Q7,Table1[Country/ Region/ Global],Q$4,Table1[Date of outcome],"FY23**")</f>
        <v>0</v>
      </c>
      <c r="AJ7" s="148" t="s">
        <v>356</v>
      </c>
      <c r="AK7" s="148" t="s">
        <v>357</v>
      </c>
      <c r="AL7" s="148" t="s">
        <v>386</v>
      </c>
      <c r="AM7" s="141">
        <f>'Quant analysis'!AV2+'Quant analysis'!AV3+'Quant analysis'!AV5+'Quant analysis'!AV8+AM5</f>
        <v>4</v>
      </c>
      <c r="AN7" s="141">
        <f>'Quant analysis'!AW2+'Quant analysis'!AW3+'Quant analysis'!AW5+'Quant analysis'!AW8+AN5</f>
        <v>1</v>
      </c>
      <c r="AO7" s="141">
        <f>'Quant analysis'!AX2+'Quant analysis'!AX3+'Quant analysis'!AX5+'Quant analysis'!AX8+AO5</f>
        <v>0</v>
      </c>
      <c r="AP7" s="141">
        <f>'Quant analysis'!AY2+'Quant analysis'!AY3+'Quant analysis'!AY5+'Quant analysis'!AY8+AP5</f>
        <v>4</v>
      </c>
      <c r="AQ7" s="141">
        <f>'Quant analysis'!AZ2+'Quant analysis'!AZ3+'Quant analysis'!AZ5+'Quant analysis'!AZ8+AQ5</f>
        <v>8</v>
      </c>
      <c r="AR7" s="141"/>
      <c r="AT7" s="154" t="s">
        <v>394</v>
      </c>
      <c r="AU7" s="154" t="s">
        <v>401</v>
      </c>
      <c r="AV7" s="154"/>
      <c r="AW7" s="154" t="s">
        <v>402</v>
      </c>
    </row>
    <row r="8" spans="1:51" ht="91" thickBot="1" x14ac:dyDescent="0.25">
      <c r="A8" s="73" t="s">
        <v>92</v>
      </c>
      <c r="B8" s="54">
        <f>COUNTIFS(Table1[Finalized?],"Yes",Table1[Type of behavior change],"Legislation/policy",Table1[Country/ Region/ Global],"Kenya")</f>
        <v>0</v>
      </c>
      <c r="C8" s="54">
        <f>COUNTIFS(Table1[Finalized?],"Yes",Table1[Type of behavior change],A8,Table1[Country/ Region/ Global],A$4,Table1[Date of outcome],"FY19**")</f>
        <v>0</v>
      </c>
      <c r="D8" s="54">
        <f>COUNTIFS(Table1[Finalized?],"Yes",Table1[Type of behavior change],A8,Table1[Country/ Region/ Global],A$4,Table1[Date of outcome],"FY20**")</f>
        <v>0</v>
      </c>
      <c r="E8" s="54">
        <f>COUNTIFS(Table1[Finalized?],"Yes",Table1[Type of behavior change],A8,Table1[Country/ Region/ Global],A$4,Table1[Date of outcome],"FY21**")</f>
        <v>0</v>
      </c>
      <c r="F8" s="54">
        <f>COUNTIFS(Table1[Finalized?],"Yes",Table1[Type of behavior change],A8,Table1[Country/ Region/ Global],A$4,Table1[Date of outcome],"FY22**")</f>
        <v>0</v>
      </c>
      <c r="G8" s="88">
        <f>COUNTIFS(Table1[Finalized?],"Yes",Table1[Type of behavior change],A8,Table1[Country/ Region/ Global],A$4,Table1[Date of outcome],"FY23**")</f>
        <v>0</v>
      </c>
      <c r="I8" s="73" t="s">
        <v>92</v>
      </c>
      <c r="J8" s="54">
        <f>COUNTIFS(Table1[Finalized?],"Yes",Table1[Type of behavior change],"Legislation/policy",Table1[Country/ Region/ Global],"Guatemala")</f>
        <v>0</v>
      </c>
      <c r="K8" s="54">
        <f>COUNTIFS(Table1[Finalized?],"Yes",Table1[Type of behavior change],I8,Table1[Country/ Region/ Global],I$4,Table1[Date of outcome],"FY19**")</f>
        <v>0</v>
      </c>
      <c r="L8" s="54">
        <f>COUNTIFS(Table1[Finalized?],"Yes",Table1[Type of behavior change],I8,Table1[Country/ Region/ Global],I$4,Table1[Date of outcome],"FY20**")</f>
        <v>0</v>
      </c>
      <c r="M8" s="54">
        <f>COUNTIFS(Table1[Finalized?],"Yes",Table1[Type of behavior change],I8,Table1[Country/ Region/ Global],I$4,Table1[Date of outcome],"FY21**")</f>
        <v>0</v>
      </c>
      <c r="N8" s="54">
        <f>COUNTIFS(Table1[Finalized?],"Yes",Table1[Type of behavior change],I8,Table1[Country/ Region/ Global],I$4,Table1[Date of outcome],"FY22**")</f>
        <v>0</v>
      </c>
      <c r="O8" s="88">
        <f>COUNTIFS(Table1[Finalized?],"Yes",Table1[Type of behavior change],I8,Table1[Country/ Region/ Global],I$4,Table1[Date of outcome],"FY23**")</f>
        <v>0</v>
      </c>
      <c r="Q8" s="73" t="s">
        <v>92</v>
      </c>
      <c r="R8" s="54">
        <f>COUNTIFS(Table1[Finalized?],"Yes",Table1[Type of behavior change],"Legislation/policy",Table1[Country/ Region/ Global],"Moldova")</f>
        <v>0</v>
      </c>
      <c r="S8" s="54">
        <f>COUNTIFS(Table1[Finalized?],"Yes",Table1[Type of behavior change],Q8,Table1[Country/ Region/ Global],Q$4,Table1[Date of outcome],"FY19**")</f>
        <v>0</v>
      </c>
      <c r="T8" s="54">
        <f>COUNTIFS(Table1[Finalized?],"Yes",Table1[Type of behavior change],Q8,Table1[Country/ Region/ Global],Q$4,Table1[Date of outcome],"FY20**")</f>
        <v>0</v>
      </c>
      <c r="U8" s="54">
        <f>COUNTIFS(Table1[Finalized?],"Yes",Table1[Type of behavior change],Q8,Table1[Country/ Region/ Global],Q$4,Table1[Date of outcome],"FY21**")</f>
        <v>0</v>
      </c>
      <c r="V8" s="54">
        <f>COUNTIFS(Table1[Finalized?],"Yes",Table1[Type of behavior change],Q8,Table1[Country/ Region/ Global],Q$4,Table1[Date of outcome],"FY22**")</f>
        <v>0</v>
      </c>
      <c r="W8" s="88">
        <f>COUNTIFS(Table1[Finalized?],"Yes",Table1[Type of behavior change],Q8,Table1[Country/ Region/ Global],Q$4,Table1[Date of outcome],"FY23**")</f>
        <v>0</v>
      </c>
      <c r="AJ8" s="148" t="s">
        <v>358</v>
      </c>
      <c r="AK8" s="148" t="s">
        <v>359</v>
      </c>
      <c r="AL8" s="148" t="s">
        <v>385</v>
      </c>
      <c r="AM8" s="141">
        <f>'Quant analysis'!AV7</f>
        <v>0</v>
      </c>
      <c r="AN8" s="141">
        <f>'Quant analysis'!AW7</f>
        <v>0</v>
      </c>
      <c r="AO8" s="141">
        <f>'Quant analysis'!AX7</f>
        <v>0</v>
      </c>
      <c r="AP8" s="141">
        <f>'Quant analysis'!AY7</f>
        <v>0</v>
      </c>
      <c r="AQ8" s="141">
        <f>'Quant analysis'!AZ7</f>
        <v>0</v>
      </c>
      <c r="AR8" s="141"/>
      <c r="AT8" s="154" t="s">
        <v>403</v>
      </c>
      <c r="AU8" s="154" t="s">
        <v>404</v>
      </c>
      <c r="AV8" s="154"/>
      <c r="AW8" s="154" t="s">
        <v>393</v>
      </c>
    </row>
    <row r="9" spans="1:51" ht="136" thickBot="1" x14ac:dyDescent="0.25">
      <c r="A9" s="82"/>
      <c r="G9" s="74"/>
      <c r="I9" s="82"/>
      <c r="O9" s="74"/>
      <c r="Q9" s="82"/>
      <c r="W9" s="74"/>
      <c r="AJ9" s="148" t="s">
        <v>360</v>
      </c>
      <c r="AK9" s="148" t="s">
        <v>361</v>
      </c>
      <c r="AL9" s="148" t="s">
        <v>384</v>
      </c>
      <c r="AM9" s="141">
        <f>'Quant analysis'!AV6</f>
        <v>0</v>
      </c>
      <c r="AN9" s="141">
        <f>'Quant analysis'!AW6</f>
        <v>0</v>
      </c>
      <c r="AO9" s="141">
        <f>'Quant analysis'!AX6</f>
        <v>0</v>
      </c>
      <c r="AP9" s="141">
        <f>'Quant analysis'!AY6</f>
        <v>0</v>
      </c>
      <c r="AQ9" s="141">
        <f>'Quant analysis'!AZ6</f>
        <v>0</v>
      </c>
      <c r="AR9" s="141"/>
      <c r="AT9" s="154" t="s">
        <v>395</v>
      </c>
      <c r="AU9" s="154" t="s">
        <v>396</v>
      </c>
      <c r="AV9" s="154"/>
      <c r="AW9" s="154" t="s">
        <v>405</v>
      </c>
    </row>
    <row r="10" spans="1:51" ht="97" thickBot="1" x14ac:dyDescent="0.25">
      <c r="A10" s="73" t="s">
        <v>7</v>
      </c>
      <c r="B10" s="55" t="s">
        <v>236</v>
      </c>
      <c r="C10" s="55" t="s">
        <v>238</v>
      </c>
      <c r="D10" s="55" t="s">
        <v>241</v>
      </c>
      <c r="E10" s="55" t="s">
        <v>244</v>
      </c>
      <c r="F10" s="85"/>
      <c r="G10" s="76" t="s">
        <v>233</v>
      </c>
      <c r="I10" s="73" t="s">
        <v>7</v>
      </c>
      <c r="J10" s="55" t="s">
        <v>236</v>
      </c>
      <c r="K10" s="55" t="s">
        <v>238</v>
      </c>
      <c r="L10" s="55" t="s">
        <v>241</v>
      </c>
      <c r="M10" s="55" t="s">
        <v>244</v>
      </c>
      <c r="N10" s="85"/>
      <c r="O10" s="76" t="s">
        <v>233</v>
      </c>
      <c r="Q10" s="73" t="s">
        <v>7</v>
      </c>
      <c r="R10" s="55" t="s">
        <v>236</v>
      </c>
      <c r="S10" s="55" t="s">
        <v>238</v>
      </c>
      <c r="T10" s="55" t="s">
        <v>241</v>
      </c>
      <c r="U10" s="55" t="s">
        <v>244</v>
      </c>
      <c r="V10" s="85"/>
      <c r="W10" s="76" t="s">
        <v>233</v>
      </c>
      <c r="AJ10" s="148" t="s">
        <v>362</v>
      </c>
      <c r="AK10" s="148" t="s">
        <v>363</v>
      </c>
      <c r="AL10" s="148" t="s">
        <v>383</v>
      </c>
      <c r="AM10" s="141">
        <f>'Quant analysis'!AV4</f>
        <v>0</v>
      </c>
      <c r="AN10" s="141">
        <f>'Quant analysis'!AW4</f>
        <v>0</v>
      </c>
      <c r="AO10" s="141">
        <f>'Quant analysis'!AX4</f>
        <v>0</v>
      </c>
      <c r="AP10" s="141">
        <f>'Quant analysis'!AY4</f>
        <v>0</v>
      </c>
      <c r="AQ10" s="141">
        <f>'Quant analysis'!AZ4</f>
        <v>0</v>
      </c>
      <c r="AR10" s="141"/>
      <c r="AT10" s="154" t="s">
        <v>397</v>
      </c>
      <c r="AU10" s="154" t="s">
        <v>406</v>
      </c>
      <c r="AV10" s="154"/>
      <c r="AW10" s="154" t="s">
        <v>398</v>
      </c>
    </row>
    <row r="11" spans="1:51" ht="151" thickBot="1" x14ac:dyDescent="0.25">
      <c r="A11" s="73" t="s">
        <v>103</v>
      </c>
      <c r="B11" s="54">
        <f>COUNTIFS(Table1[Finalized?],"Yes",Table1[Type of behavior change],"Commitment",Table1[Country/ Region/ Global],"Kenya",Table1[Date of outcome],"FY24Q1")</f>
        <v>0</v>
      </c>
      <c r="C11" s="54">
        <f>COUNTIFS(Table1[Finalized?],"Yes",Table1[Type of behavior change],"Commitment",Table1[Country/ Region/ Global],"Kenya",Table1[Date of outcome],"FY24Q2")</f>
        <v>0</v>
      </c>
      <c r="D11" s="54">
        <f>COUNTIFS(Table1[Finalized?],"Yes",Table1[Type of behavior change],"Commitment",Table1[Country/ Region/ Global],"Kenya",Table1[Date of outcome],"FY24Q3")</f>
        <v>0</v>
      </c>
      <c r="E11" s="54">
        <f>COUNTIFS(Table1[Finalized?],"Yes",Table1[Type of behavior change],"Commitment",Table1[Country/ Region/ Global],"Kenya",Table1[Date of outcome],"FY24Q4")</f>
        <v>0</v>
      </c>
      <c r="F11" s="86"/>
      <c r="G11" s="83">
        <f>SUM(B11:E11)</f>
        <v>0</v>
      </c>
      <c r="I11" s="73" t="s">
        <v>103</v>
      </c>
      <c r="J11" s="54">
        <f>COUNTIFS(Table1[Finalized?],"Yes",Table1[Type of behavior change],"Commitment",Table1[Country/ Region/ Global],"Guatemala",Table1[Date of outcome],"FY24Q1")</f>
        <v>0</v>
      </c>
      <c r="K11" s="54">
        <f>COUNTIFS(Table1[Finalized?],"Yes",Table1[Type of behavior change],"Commitment",Table1[Country/ Region/ Global],"Guatemala",Table1[Date of outcome],"FY24Q2")</f>
        <v>0</v>
      </c>
      <c r="L11" s="54">
        <f>COUNTIFS(Table1[Finalized?],"Yes",Table1[Type of behavior change],"Commitment",Table1[Country/ Region/ Global],"Guatemala",Table1[Date of outcome],"FY24Q3")</f>
        <v>0</v>
      </c>
      <c r="M11" s="54">
        <f>COUNTIFS(Table1[Finalized?],"Yes",Table1[Type of behavior change],"Commitment",Table1[Country/ Region/ Global],"Guatemala",Table1[Date of outcome],"FY24Q4")</f>
        <v>0</v>
      </c>
      <c r="N11" s="86"/>
      <c r="O11" s="83">
        <f>SUM(J11:M11)</f>
        <v>0</v>
      </c>
      <c r="Q11" s="73" t="s">
        <v>103</v>
      </c>
      <c r="R11" s="54">
        <f>COUNTIFS(Table1[Finalized?],"Yes",Table1[Type of behavior change],"Commitment",Table1[Country/ Region/ Global],"Moldova",Table1[Date of outcome],"FY24Q1")</f>
        <v>0</v>
      </c>
      <c r="S11" s="54">
        <f>COUNTIFS(Table1[Finalized?],"Yes",Table1[Type of behavior change],"Commitment",Table1[Country/ Region/ Global],"Moldova",Table1[Date of outcome],"FY24Q2")</f>
        <v>0</v>
      </c>
      <c r="T11" s="54">
        <f>COUNTIFS(Table1[Finalized?],"Yes",Table1[Type of behavior change],"Commitment",Table1[Country/ Region/ Global],"Moldova",Table1[Date of outcome],"FY24Q3")</f>
        <v>0</v>
      </c>
      <c r="U11" s="54">
        <f>COUNTIFS(Table1[Finalized?],"Yes",Table1[Type of behavior change],"Commitment",Table1[Country/ Region/ Global],"Moldova",Table1[Date of outcome],"FY24Q4")</f>
        <v>0</v>
      </c>
      <c r="V11" s="86"/>
      <c r="W11" s="83">
        <f>SUM(R11:U11)</f>
        <v>0</v>
      </c>
      <c r="AJ11" s="148" t="s">
        <v>364</v>
      </c>
      <c r="AK11" s="148" t="s">
        <v>365</v>
      </c>
      <c r="AL11" s="148" t="s">
        <v>382</v>
      </c>
      <c r="AM11" s="141">
        <f t="shared" ref="AM11:AO11" si="1">AM6</f>
        <v>0</v>
      </c>
      <c r="AN11" s="141">
        <f t="shared" si="1"/>
        <v>0</v>
      </c>
      <c r="AO11" s="141">
        <f t="shared" si="1"/>
        <v>0</v>
      </c>
      <c r="AP11" s="141">
        <f>AP6</f>
        <v>3</v>
      </c>
      <c r="AQ11" s="141">
        <f>AQ6</f>
        <v>0</v>
      </c>
      <c r="AR11" s="141"/>
      <c r="AT11" s="154" t="s">
        <v>399</v>
      </c>
      <c r="AU11" s="154" t="s">
        <v>407</v>
      </c>
      <c r="AV11" s="154"/>
      <c r="AW11" s="154" t="s">
        <v>400</v>
      </c>
    </row>
    <row r="12" spans="1:51" ht="91" thickBot="1" x14ac:dyDescent="0.25">
      <c r="A12" s="73" t="s">
        <v>102</v>
      </c>
      <c r="B12" s="54">
        <f>COUNTIFS(Table1[Finalized?],"Yes",Table1[Type of behavior change],"Coordination",Table1[Country/ Region/ Global],"Kenya",Table1[Date of outcome],"FY24Q1")</f>
        <v>0</v>
      </c>
      <c r="C12" s="54">
        <f>COUNTIFS(Table1[Finalized?],"Yes",Table1[Type of behavior change],"Coordination",Table1[Country/ Region/ Global],"Kenya",Table1[Date of outcome],"FY24Q2")</f>
        <v>0</v>
      </c>
      <c r="D12" s="54">
        <f>COUNTIFS(Table1[Finalized?],"Yes",Table1[Type of behavior change],"Coordination",Table1[Country/ Region/ Global],"Kenya",Table1[Date of outcome],"FY24Q3")</f>
        <v>0</v>
      </c>
      <c r="E12" s="54">
        <f>COUNTIFS(Table1[Finalized?],"Yes",Table1[Type of behavior change],"Coordination",Table1[Country/ Region/ Global],"Kenya",Table1[Date of outcome],"FY24Q4")</f>
        <v>0</v>
      </c>
      <c r="F12" s="86"/>
      <c r="G12" s="83">
        <f t="shared" ref="G12:G13" si="2">SUM(B12:E12)</f>
        <v>0</v>
      </c>
      <c r="I12" s="73" t="s">
        <v>102</v>
      </c>
      <c r="J12" s="54">
        <f>COUNTIFS(Table1[Finalized?],"Yes",Table1[Type of behavior change],"Coordination",Table1[Country/ Region/ Global],"Guatemala",Table1[Date of outcome],"FY24Q1")</f>
        <v>0</v>
      </c>
      <c r="K12" s="54">
        <f>COUNTIFS(Table1[Finalized?],"Yes",Table1[Type of behavior change],"Coordination",Table1[Country/ Region/ Global],"Guatemala",Table1[Date of outcome],"FY24Q2")</f>
        <v>0</v>
      </c>
      <c r="L12" s="54">
        <f>COUNTIFS(Table1[Finalized?],"Yes",Table1[Type of behavior change],"Coordination",Table1[Country/ Region/ Global],"Guatemala",Table1[Date of outcome],"FY24Q3")</f>
        <v>0</v>
      </c>
      <c r="M12" s="54">
        <f>COUNTIFS(Table1[Finalized?],"Yes",Table1[Type of behavior change],"Coordination",Table1[Country/ Region/ Global],"Guatemala",Table1[Date of outcome],"FY24Q4")</f>
        <v>0</v>
      </c>
      <c r="N12" s="86"/>
      <c r="O12" s="83">
        <f t="shared" ref="O12:O13" si="3">SUM(J12:M12)</f>
        <v>0</v>
      </c>
      <c r="Q12" s="73" t="s">
        <v>102</v>
      </c>
      <c r="R12" s="54">
        <f>COUNTIFS(Table1[Finalized?],"Yes",Table1[Type of behavior change],"Coordination",Table1[Country/ Region/ Global],"Moldova",Table1[Date of outcome],"FY24Q1")</f>
        <v>0</v>
      </c>
      <c r="S12" s="54">
        <f>COUNTIFS(Table1[Finalized?],"Yes",Table1[Type of behavior change],"Coordination",Table1[Country/ Region/ Global],"Moldova",Table1[Date of outcome],"FY24Q2")</f>
        <v>0</v>
      </c>
      <c r="T12" s="54">
        <f>COUNTIFS(Table1[Finalized?],"Yes",Table1[Type of behavior change],"Coordination",Table1[Country/ Region/ Global],"Moldova",Table1[Date of outcome],"FY24Q3")</f>
        <v>0</v>
      </c>
      <c r="U12" s="54">
        <f>COUNTIFS(Table1[Finalized?],"Yes",Table1[Type of behavior change],"Coordination",Table1[Country/ Region/ Global],"Moldova",Table1[Date of outcome],"FY24Q4")</f>
        <v>0</v>
      </c>
      <c r="V12" s="86"/>
      <c r="W12" s="83">
        <f t="shared" ref="W12:W13" si="4">SUM(R12:U12)</f>
        <v>0</v>
      </c>
      <c r="AJ12" s="149" t="s">
        <v>366</v>
      </c>
      <c r="AK12" s="149" t="s">
        <v>367</v>
      </c>
      <c r="AL12" s="149" t="s">
        <v>381</v>
      </c>
      <c r="AM12" s="141"/>
      <c r="AN12" s="141"/>
      <c r="AO12" s="141"/>
      <c r="AP12" s="141"/>
      <c r="AQ12" s="141"/>
      <c r="AR12" s="141">
        <f>SUM('Quant analysis'!BA7:BD7)</f>
        <v>0</v>
      </c>
      <c r="AX12" s="155" t="s">
        <v>408</v>
      </c>
      <c r="AY12" s="7"/>
    </row>
    <row r="13" spans="1:51" ht="193" thickBot="1" x14ac:dyDescent="0.25">
      <c r="A13" s="80" t="s">
        <v>92</v>
      </c>
      <c r="B13" s="77">
        <f>COUNTIFS(Table1[Finalized?],"Yes",Table1[Type of behavior change],"Legislation/policy",Table1[Country/ Region/ Global],"Kenya",Table1[Date of outcome],"FY24Q1")</f>
        <v>0</v>
      </c>
      <c r="C13" s="77">
        <f>COUNTIFS(Table1[Finalized?],"Yes",Table1[Type of behavior change],"Legislation/policy",Table1[Country/ Region/ Global],"Kenya",Table1[Date of outcome],"FY24Q2")</f>
        <v>0</v>
      </c>
      <c r="D13" s="77">
        <f>COUNTIFS(Table1[Finalized?],"Yes",Table1[Type of behavior change],"Legislation/policy",Table1[Country/ Region/ Global],"Kenya",Table1[Date of outcome],"FY24Q3")</f>
        <v>0</v>
      </c>
      <c r="E13" s="77">
        <f>COUNTIFS(Table1[Finalized?],"Yes",Table1[Type of behavior change],"Legislation/policy",Table1[Country/ Region/ Global],"Kenya",Table1[Date of outcome],"FY24Q4")</f>
        <v>0</v>
      </c>
      <c r="F13" s="87"/>
      <c r="G13" s="84">
        <f t="shared" si="2"/>
        <v>0</v>
      </c>
      <c r="I13" s="80" t="s">
        <v>92</v>
      </c>
      <c r="J13" s="77">
        <f>COUNTIFS(Table1[Finalized?],"Yes",Table1[Type of behavior change],"Legislation/policy",Table1[Country/ Region/ Global],"Guatemala",Table1[Date of outcome],"FY24Q1")</f>
        <v>0</v>
      </c>
      <c r="K13" s="77">
        <f>COUNTIFS(Table1[Finalized?],"Yes",Table1[Type of behavior change],"Legislation/policy",Table1[Country/ Region/ Global],"Guatemala",Table1[Date of outcome],"FY24Q2")</f>
        <v>0</v>
      </c>
      <c r="L13" s="77">
        <f>COUNTIFS(Table1[Finalized?],"Yes",Table1[Type of behavior change],"Legislation/policy",Table1[Country/ Region/ Global],"Guatemala",Table1[Date of outcome],"FY24Q3")</f>
        <v>0</v>
      </c>
      <c r="M13" s="77">
        <f>COUNTIFS(Table1[Finalized?],"Yes",Table1[Type of behavior change],"Legislation/policy",Table1[Country/ Region/ Global],"Guatemala",Table1[Date of outcome],"FY24Q4")</f>
        <v>0</v>
      </c>
      <c r="N13" s="87"/>
      <c r="O13" s="84">
        <f t="shared" si="3"/>
        <v>0</v>
      </c>
      <c r="Q13" s="80" t="s">
        <v>92</v>
      </c>
      <c r="R13" s="77">
        <f>COUNTIFS(Table1[Finalized?],"Yes",Table1[Type of behavior change],"Legislation/policy",Table1[Country/ Region/ Global],"Moldova",Table1[Date of outcome],"FY24Q1")</f>
        <v>0</v>
      </c>
      <c r="S13" s="77">
        <f>COUNTIFS(Table1[Finalized?],"Yes",Table1[Type of behavior change],"Legislation/policy",Table1[Country/ Region/ Global],"Moldova",Table1[Date of outcome],"FY24Q2")</f>
        <v>0</v>
      </c>
      <c r="T13" s="77">
        <f>COUNTIFS(Table1[Finalized?],"Yes",Table1[Type of behavior change],"Legislation/policy",Table1[Country/ Region/ Global],"Moldova",Table1[Date of outcome],"FY24Q3")</f>
        <v>0</v>
      </c>
      <c r="U13" s="77">
        <f>COUNTIFS(Table1[Finalized?],"Yes",Table1[Type of behavior change],"Legislation/policy",Table1[Country/ Region/ Global],"Moldova",Table1[Date of outcome],"FY24Q4")</f>
        <v>0</v>
      </c>
      <c r="V13" s="87"/>
      <c r="W13" s="84">
        <f t="shared" si="4"/>
        <v>0</v>
      </c>
      <c r="AJ13" s="149" t="s">
        <v>368</v>
      </c>
      <c r="AK13" s="149" t="s">
        <v>369</v>
      </c>
      <c r="AL13" s="149" t="s">
        <v>380</v>
      </c>
      <c r="AM13" s="141"/>
      <c r="AN13" s="141"/>
      <c r="AO13" s="141"/>
      <c r="AP13" s="141"/>
      <c r="AQ13" s="141"/>
      <c r="AR13" s="141">
        <f>SUM('Quant analysis'!BA4:BD5,'Quant analysis'!BA8,'Quant analysis'!BB8,'Quant analysis'!BC8,'Quant analysis'!BD8,'Quant analysis'!BA9,'Quant analysis'!BB9,'Quant analysis'!BC9,'Quant analysis'!BD9)</f>
        <v>0</v>
      </c>
      <c r="AX13" s="155" t="s">
        <v>409</v>
      </c>
      <c r="AY13" s="7"/>
    </row>
    <row r="14" spans="1:51" ht="133" thickBot="1" x14ac:dyDescent="0.25">
      <c r="AA14" s="60"/>
      <c r="AB14" s="60"/>
      <c r="AC14" s="60"/>
      <c r="AJ14" s="149" t="s">
        <v>370</v>
      </c>
      <c r="AK14" s="149" t="s">
        <v>371</v>
      </c>
      <c r="AL14" s="149" t="s">
        <v>379</v>
      </c>
      <c r="AM14" s="141"/>
      <c r="AN14" s="141"/>
      <c r="AO14" s="141"/>
      <c r="AP14" s="141"/>
      <c r="AQ14" s="141"/>
      <c r="AR14" s="141">
        <f>SUM('Quant analysis'!BA2:BD2)</f>
        <v>0</v>
      </c>
      <c r="AX14" s="155" t="s">
        <v>410</v>
      </c>
      <c r="AY14" s="7"/>
    </row>
    <row r="15" spans="1:51" ht="91" thickBot="1" x14ac:dyDescent="0.25">
      <c r="A15" s="44" t="s">
        <v>316</v>
      </c>
      <c r="AJ15" s="149" t="s">
        <v>372</v>
      </c>
      <c r="AK15" s="149" t="s">
        <v>373</v>
      </c>
      <c r="AL15" s="149" t="s">
        <v>378</v>
      </c>
      <c r="AM15" s="141"/>
      <c r="AN15" s="141"/>
      <c r="AO15" s="141"/>
      <c r="AP15" s="141"/>
      <c r="AQ15" s="141"/>
      <c r="AR15" s="141">
        <f>SUM('Quant analysis'!BA3:BD3)</f>
        <v>0</v>
      </c>
      <c r="AX15" s="155" t="s">
        <v>411</v>
      </c>
      <c r="AY15" s="7"/>
    </row>
    <row r="16" spans="1:51" x14ac:dyDescent="0.2">
      <c r="A16" s="70" t="s">
        <v>109</v>
      </c>
      <c r="B16" s="71"/>
      <c r="C16" s="71"/>
      <c r="D16" s="71"/>
      <c r="E16" s="71"/>
      <c r="F16" s="71"/>
      <c r="G16" s="72"/>
      <c r="I16" s="70" t="s">
        <v>135</v>
      </c>
      <c r="J16" s="71"/>
      <c r="K16" s="71"/>
      <c r="L16" s="71"/>
      <c r="M16" s="71"/>
      <c r="N16" s="71"/>
      <c r="O16" s="72"/>
      <c r="Q16" s="70" t="s">
        <v>157</v>
      </c>
      <c r="R16" s="71"/>
      <c r="S16" s="71"/>
      <c r="T16" s="71"/>
      <c r="U16" s="71"/>
      <c r="V16" s="71"/>
      <c r="W16" s="72"/>
      <c r="AA16" s="71"/>
      <c r="AB16" s="71"/>
      <c r="AC16" s="71"/>
    </row>
    <row r="17" spans="1:45" x14ac:dyDescent="0.2">
      <c r="A17" s="55"/>
      <c r="B17" s="55" t="s">
        <v>315</v>
      </c>
      <c r="C17" s="55" t="s">
        <v>2</v>
      </c>
      <c r="D17" s="55" t="s">
        <v>3</v>
      </c>
      <c r="E17" s="55" t="s">
        <v>4</v>
      </c>
      <c r="F17" s="55" t="s">
        <v>5</v>
      </c>
      <c r="G17" s="76" t="s">
        <v>6</v>
      </c>
      <c r="I17" s="73"/>
      <c r="J17" s="55" t="s">
        <v>315</v>
      </c>
      <c r="K17" s="55" t="s">
        <v>2</v>
      </c>
      <c r="L17" s="55" t="s">
        <v>3</v>
      </c>
      <c r="M17" s="55" t="s">
        <v>4</v>
      </c>
      <c r="N17" s="55" t="s">
        <v>5</v>
      </c>
      <c r="O17" s="76" t="s">
        <v>6</v>
      </c>
      <c r="Q17" s="73"/>
      <c r="R17" s="55" t="s">
        <v>315</v>
      </c>
      <c r="S17" s="55" t="s">
        <v>2</v>
      </c>
      <c r="T17" s="55" t="s">
        <v>3</v>
      </c>
      <c r="U17" s="55" t="s">
        <v>4</v>
      </c>
      <c r="V17" s="55" t="s">
        <v>5</v>
      </c>
      <c r="W17" s="76" t="s">
        <v>6</v>
      </c>
      <c r="AA17" s="55" t="s">
        <v>2</v>
      </c>
      <c r="AB17" s="55" t="s">
        <v>3</v>
      </c>
      <c r="AC17" s="55" t="s">
        <v>4</v>
      </c>
    </row>
    <row r="18" spans="1:45" x14ac:dyDescent="0.2">
      <c r="A18" s="55" t="s">
        <v>128</v>
      </c>
      <c r="B18" s="54">
        <f>COUNTIFS(Table1[Finalized?],"Yes",Table1[Type of behavior change],"Financing",Table1[Country/ Region/ Global],"Kenya")</f>
        <v>0</v>
      </c>
      <c r="C18" s="54">
        <f>COUNTIFS(Table1[Finalized?],"Yes",Table1[Type of behavior change],A18,Table1[Country/ Region/ Global],A$4,Table1[Date of outcome],"FY19**")</f>
        <v>0</v>
      </c>
      <c r="D18" s="54">
        <f>COUNTIFS(Table1[Finalized?],"Yes",Table1[Type of behavior change],A18,Table1[Country/ Region/ Global],A$4,Table1[Date of outcome],"FY20**")</f>
        <v>0</v>
      </c>
      <c r="E18" s="54">
        <f>COUNTIFS(Table1[Finalized?],"Yes",Table1[Type of behavior change],A18,Table1[Country/ Region/ Global],A$4,Table1[Date of outcome],"FY21**")</f>
        <v>0</v>
      </c>
      <c r="F18" s="54">
        <f>COUNTIFS(Table1[Finalized?],"Yes",Table1[Type of behavior change],A18,Table1[Country/ Region/ Global],A$4,Table1[Date of outcome],"FY22**")</f>
        <v>0</v>
      </c>
      <c r="G18" s="88">
        <f>COUNTIFS(Table1[Finalized?],"Yes",Table1[Type of behavior change],A18,Table1[Country/ Region/ Global],A$4,Table1[Date of outcome],"FY23**")</f>
        <v>0</v>
      </c>
      <c r="I18" s="73" t="s">
        <v>128</v>
      </c>
      <c r="J18" s="54">
        <f>COUNTIFS(Table1[Finalized?],"Yes",Table1[Type of behavior change],"Financing",Table1[Country/ Region/ Global],"Guatemala")</f>
        <v>0</v>
      </c>
      <c r="K18" s="54">
        <f>COUNTIFS(Table1[Finalized?],"Yes",Table1[Type of behavior change],I18,Table1[Country/ Region/ Global],I$4,Table1[Date of outcome],"FY19**")</f>
        <v>0</v>
      </c>
      <c r="L18" s="54">
        <f>COUNTIFS(Table1[Finalized?],"Yes",Table1[Type of behavior change],I18,Table1[Country/ Region/ Global],I$4,Table1[Date of outcome],"FY20**")</f>
        <v>0</v>
      </c>
      <c r="M18" s="54">
        <f>COUNTIFS(Table1[Finalized?],"Yes",Table1[Type of behavior change],I18,Table1[Country/ Region/ Global],I$4,Table1[Date of outcome],"FY21**")</f>
        <v>0</v>
      </c>
      <c r="N18" s="54">
        <f>COUNTIFS(Table1[Finalized?],"Yes",Table1[Type of behavior change],I18,Table1[Country/ Region/ Global],I$4,Table1[Date of outcome],"FY22**")</f>
        <v>0</v>
      </c>
      <c r="O18" s="88">
        <f>COUNTIFS(Table1[Finalized?],"Yes",Table1[Type of behavior change],I18,Table1[Country/ Region/ Global],I$4,Table1[Date of outcome],"FY23**")</f>
        <v>0</v>
      </c>
      <c r="Q18" s="73" t="s">
        <v>128</v>
      </c>
      <c r="R18" s="54">
        <f>COUNTIFS(Table1[Finalized?],"Yes",Table1[Type of behavior change],"Financing",Table1[Country/ Region/ Global],"Moldova")</f>
        <v>0</v>
      </c>
      <c r="S18" s="54">
        <f>COUNTIFS(Table1[Finalized?],"Yes",Table1[Type of behavior change],Q18,Table1[Country/ Region/ Global],Q$4,Table1[Date of outcome],"FY19**")</f>
        <v>0</v>
      </c>
      <c r="T18" s="54">
        <f>COUNTIFS(Table1[Finalized?],"Yes",Table1[Type of behavior change],Q18,Table1[Country/ Region/ Global],Q$4,Table1[Date of outcome],"FY20**")</f>
        <v>0</v>
      </c>
      <c r="U18" s="54">
        <f>COUNTIFS(Table1[Finalized?],"Yes",Table1[Type of behavior change],Q18,Table1[Country/ Region/ Global],Q$4,Table1[Date of outcome],"FY21**")</f>
        <v>0</v>
      </c>
      <c r="V18" s="54">
        <f>COUNTIFS(Table1[Finalized?],"Yes",Table1[Type of behavior change],Q18,Table1[Country/ Region/ Global],Q$4,Table1[Date of outcome],"FY22**")</f>
        <v>0</v>
      </c>
      <c r="W18" s="88">
        <f>COUNTIFS(Table1[Finalized?],"Yes",Table1[Type of behavior change],Q18,Table1[Country/ Region/ Global],Q$4,Table1[Date of outcome],"FY23**")</f>
        <v>0</v>
      </c>
      <c r="AA18" s="54">
        <f>COUNTIFS(Table1[Finalized?],"Yes",Table1[Type of behavior change],Y27,Table1[Country/ Region/ Global],Y$25,Table1[Date of outcome],"FY19**")</f>
        <v>0</v>
      </c>
      <c r="AB18" s="54">
        <f>COUNTIFS(Table1[Finalized?],"Yes",Table1[Type of behavior change],Y27,Table1[Country/ Region/ Global],Y$25,Table1[Date of outcome],"FY20**")</f>
        <v>0</v>
      </c>
      <c r="AC18" s="54">
        <f>COUNTIFS(Table1[Finalized?],"Yes",Table1[Type of behavior change],Y27,Table1[Country/ Region/ Global],Y$25,Table1[Date of outcome],"FY21**")</f>
        <v>0</v>
      </c>
    </row>
    <row r="19" spans="1:45" x14ac:dyDescent="0.2">
      <c r="A19" s="75"/>
      <c r="G19" s="74"/>
      <c r="I19" s="75"/>
      <c r="O19" s="74"/>
      <c r="Q19" s="75"/>
      <c r="W19" s="74"/>
      <c r="AR19" t="s">
        <v>2</v>
      </c>
      <c r="AS19">
        <v>1</v>
      </c>
    </row>
    <row r="20" spans="1:45" x14ac:dyDescent="0.2">
      <c r="A20" s="73" t="s">
        <v>7</v>
      </c>
      <c r="B20" s="55" t="s">
        <v>236</v>
      </c>
      <c r="C20" s="55" t="s">
        <v>238</v>
      </c>
      <c r="D20" s="55" t="s">
        <v>241</v>
      </c>
      <c r="E20" s="55" t="s">
        <v>244</v>
      </c>
      <c r="F20" s="85"/>
      <c r="G20" s="76" t="s">
        <v>233</v>
      </c>
      <c r="I20" s="73" t="s">
        <v>7</v>
      </c>
      <c r="J20" s="55" t="s">
        <v>236</v>
      </c>
      <c r="K20" s="55" t="s">
        <v>238</v>
      </c>
      <c r="L20" s="55" t="s">
        <v>241</v>
      </c>
      <c r="M20" s="55" t="s">
        <v>244</v>
      </c>
      <c r="N20" s="85"/>
      <c r="O20" s="76" t="s">
        <v>233</v>
      </c>
      <c r="Q20" s="73" t="s">
        <v>7</v>
      </c>
      <c r="R20" s="55" t="s">
        <v>236</v>
      </c>
      <c r="S20" s="55" t="s">
        <v>238</v>
      </c>
      <c r="T20" s="55" t="s">
        <v>241</v>
      </c>
      <c r="U20" s="55" t="s">
        <v>244</v>
      </c>
      <c r="V20" s="85"/>
      <c r="W20" s="76" t="s">
        <v>233</v>
      </c>
      <c r="AA20" s="55" t="s">
        <v>238</v>
      </c>
      <c r="AB20" s="55" t="s">
        <v>241</v>
      </c>
      <c r="AC20" s="55" t="s">
        <v>244</v>
      </c>
      <c r="AR20" t="s">
        <v>3</v>
      </c>
      <c r="AS20">
        <v>2</v>
      </c>
    </row>
    <row r="21" spans="1:45" ht="17" thickBot="1" x14ac:dyDescent="0.25">
      <c r="A21" s="81" t="s">
        <v>128</v>
      </c>
      <c r="B21" s="77">
        <f>COUNTIFS(Table1[Finalized?],"Yes",Table1[Type of behavior change],"Financing",Table1[Country/ Region/ Global],"Kenya",Table1[Date of outcome],"FY24Q1")</f>
        <v>0</v>
      </c>
      <c r="C21" s="77">
        <f>COUNTIFS(Table1[Finalized?],"Yes",Table1[Type of behavior change],"Financing",Table1[Country/ Region/ Global],"Kenya",Table1[Date of outcome],"FY24Q2")</f>
        <v>0</v>
      </c>
      <c r="D21" s="77">
        <f>COUNTIFS(Table1[Finalized?],"Yes",Table1[Type of behavior change],"Financing",Table1[Country/ Region/ Global],"Kenya",Table1[Date of outcome],"FY24Q3")</f>
        <v>0</v>
      </c>
      <c r="E21" s="77">
        <f>COUNTIFS(Table1[Finalized?],"Yes",Table1[Type of behavior change],"Financing",Table1[Country/ Region/ Global],"Kenya",Table1[Date of outcome],"FY24Q4")</f>
        <v>0</v>
      </c>
      <c r="F21" s="87"/>
      <c r="G21" s="84">
        <f>SUM(B21:E21)</f>
        <v>0</v>
      </c>
      <c r="I21" s="81" t="s">
        <v>128</v>
      </c>
      <c r="J21" s="77">
        <f>COUNTIFS(Table1[Finalized?],"Yes",Table1[Type of behavior change],"Financing",Table1[Country/ Region/ Global],"Guatemala",Table1[Date of outcome],"FY24Q1")</f>
        <v>0</v>
      </c>
      <c r="K21" s="77">
        <f>COUNTIFS(Table1[Finalized?],"Yes",Table1[Type of behavior change],"Financing",Table1[Country/ Region/ Global],"Guatemala",Table1[Date of outcome],"FY24Q2")</f>
        <v>0</v>
      </c>
      <c r="L21" s="77">
        <f>COUNTIFS(Table1[Finalized?],"Yes",Table1[Type of behavior change],"Financing",Table1[Country/ Region/ Global],"Guatemala",Table1[Date of outcome],"FY24Q3")</f>
        <v>0</v>
      </c>
      <c r="M21" s="77">
        <f>COUNTIFS(Table1[Finalized?],"Yes",Table1[Type of behavior change],"Financing",Table1[Country/ Region/ Global],"Guatemala",Table1[Date of outcome],"FY24Q4")</f>
        <v>0</v>
      </c>
      <c r="N21" s="87"/>
      <c r="O21" s="84">
        <f>SUM(J21:M21)</f>
        <v>0</v>
      </c>
      <c r="Q21" s="81" t="s">
        <v>128</v>
      </c>
      <c r="R21" s="77">
        <f>COUNTIFS(Table1[Finalized?],"Yes",Table1[Type of behavior change],"Financing",Table1[Country/ Region/ Global],"Moldova",Table1[Date of outcome],"FY24Q1")</f>
        <v>0</v>
      </c>
      <c r="S21" s="77">
        <f>COUNTIFS(Table1[Finalized?],"Yes",Table1[Type of behavior change],"Financing",Table1[Country/ Region/ Global],"Moldova",Table1[Date of outcome],"FY24Q2")</f>
        <v>0</v>
      </c>
      <c r="T21" s="77">
        <f>COUNTIFS(Table1[Finalized?],"Yes",Table1[Type of behavior change],"Financing",Table1[Country/ Region/ Global],"Moldova",Table1[Date of outcome],"FY24Q3")</f>
        <v>0</v>
      </c>
      <c r="U21" s="77">
        <f>COUNTIFS(Table1[Finalized?],"Yes",Table1[Type of behavior change],"Financing",Table1[Country/ Region/ Global],"Moldova",Table1[Date of outcome],"FY24Q4")</f>
        <v>0</v>
      </c>
      <c r="V21" s="87"/>
      <c r="W21" s="84">
        <f>SUM(R21:U21)</f>
        <v>0</v>
      </c>
      <c r="AA21" s="77">
        <f>COUNTIFS(Table1[Finalized?],"Yes",Table1[Type of behavior change],"Financing",Table1[Country/ Region/ Global],"Global",Table1[Date of outcome],"FY24Q2")</f>
        <v>0</v>
      </c>
      <c r="AB21" s="77">
        <f>COUNTIFS(Table1[Finalized?],"Yes",Table1[Type of behavior change],"Financing",Table1[Country/ Region/ Global],"Global",Table1[Date of outcome],"FY24Q3")</f>
        <v>0</v>
      </c>
      <c r="AC21" s="77">
        <f>COUNTIFS(Table1[Finalized?],"Yes",Table1[Type of behavior change],"Financing",Table1[Country/ Region/ Global],"Global",Table1[Date of outcome],"FY24Q4")</f>
        <v>0</v>
      </c>
      <c r="AR21" t="s">
        <v>4</v>
      </c>
      <c r="AS21">
        <v>3</v>
      </c>
    </row>
    <row r="22" spans="1:45" x14ac:dyDescent="0.2">
      <c r="Z22" s="60"/>
      <c r="AR22" t="s">
        <v>5</v>
      </c>
      <c r="AS22">
        <v>4</v>
      </c>
    </row>
    <row r="23" spans="1:45" ht="17" thickBot="1" x14ac:dyDescent="0.25">
      <c r="A23" s="90" t="s">
        <v>94</v>
      </c>
      <c r="B23" s="60"/>
      <c r="C23" s="60"/>
      <c r="D23" s="60"/>
      <c r="E23" s="60"/>
      <c r="F23" s="60"/>
      <c r="G23" s="60"/>
      <c r="H23" s="60"/>
      <c r="I23" s="60"/>
      <c r="J23" s="60"/>
      <c r="K23" s="60"/>
      <c r="L23" s="60"/>
      <c r="M23" s="60"/>
      <c r="N23" s="60"/>
      <c r="O23" s="60"/>
      <c r="P23" s="60"/>
      <c r="Q23" s="60"/>
      <c r="R23" s="60"/>
      <c r="S23" s="60"/>
      <c r="T23" s="60"/>
      <c r="U23" s="60"/>
      <c r="V23" s="60"/>
      <c r="W23" s="60"/>
      <c r="X23" s="60"/>
      <c r="Y23" s="60"/>
      <c r="AE23" s="135"/>
      <c r="AR23" t="s">
        <v>6</v>
      </c>
      <c r="AS23">
        <v>5</v>
      </c>
    </row>
    <row r="24" spans="1:45" ht="17" thickBot="1" x14ac:dyDescent="0.25">
      <c r="A24" s="44" t="s">
        <v>317</v>
      </c>
      <c r="Z24" s="71"/>
      <c r="AD24" s="135"/>
      <c r="AR24" t="s">
        <v>7</v>
      </c>
      <c r="AS24">
        <v>6</v>
      </c>
    </row>
    <row r="25" spans="1:45" ht="17" thickBot="1" x14ac:dyDescent="0.25">
      <c r="A25" s="70" t="s">
        <v>100</v>
      </c>
      <c r="B25" s="71"/>
      <c r="C25" s="71"/>
      <c r="D25" s="71"/>
      <c r="E25" s="71"/>
      <c r="F25" s="71"/>
      <c r="G25" s="72"/>
      <c r="I25" s="70" t="s">
        <v>149</v>
      </c>
      <c r="J25" s="71"/>
      <c r="K25" s="71"/>
      <c r="L25" s="71"/>
      <c r="M25" s="71"/>
      <c r="N25" s="71"/>
      <c r="O25" s="72"/>
      <c r="Q25" s="70" t="s">
        <v>177</v>
      </c>
      <c r="R25" s="71"/>
      <c r="S25" s="71"/>
      <c r="T25" s="71"/>
      <c r="U25" s="71"/>
      <c r="V25" s="71"/>
      <c r="W25" s="72"/>
      <c r="Y25" s="70" t="s">
        <v>93</v>
      </c>
      <c r="Z25" s="55" t="s">
        <v>315</v>
      </c>
      <c r="AE25" s="136"/>
      <c r="AR25" t="s">
        <v>271</v>
      </c>
      <c r="AS25">
        <v>7</v>
      </c>
    </row>
    <row r="26" spans="1:45" ht="17" thickBot="1" x14ac:dyDescent="0.25">
      <c r="A26" s="73"/>
      <c r="B26" s="55" t="s">
        <v>315</v>
      </c>
      <c r="C26" s="55" t="s">
        <v>2</v>
      </c>
      <c r="D26" s="55" t="s">
        <v>3</v>
      </c>
      <c r="E26" s="55" t="s">
        <v>4</v>
      </c>
      <c r="F26" s="55" t="s">
        <v>5</v>
      </c>
      <c r="G26" s="76" t="s">
        <v>6</v>
      </c>
      <c r="I26" s="73"/>
      <c r="J26" s="55" t="s">
        <v>315</v>
      </c>
      <c r="K26" s="55" t="s">
        <v>2</v>
      </c>
      <c r="L26" s="55" t="s">
        <v>3</v>
      </c>
      <c r="M26" s="55" t="s">
        <v>4</v>
      </c>
      <c r="N26" s="55" t="s">
        <v>5</v>
      </c>
      <c r="O26" s="76" t="s">
        <v>6</v>
      </c>
      <c r="Q26" s="73"/>
      <c r="R26" s="55" t="s">
        <v>315</v>
      </c>
      <c r="S26" s="55" t="s">
        <v>2</v>
      </c>
      <c r="T26" s="55" t="s">
        <v>3</v>
      </c>
      <c r="U26" s="55" t="s">
        <v>4</v>
      </c>
      <c r="V26" s="55" t="s">
        <v>5</v>
      </c>
      <c r="W26" s="76" t="s">
        <v>6</v>
      </c>
      <c r="Y26" s="73"/>
      <c r="Z26" s="54">
        <f>COUNTIFS(Table1[Finalized?],"Yes",Table1[Type of behavior change],"Financing",Table1[Country/ Region/ Global],"Global")</f>
        <v>0</v>
      </c>
      <c r="AD26" s="137"/>
      <c r="AE26" s="138" t="s">
        <v>6</v>
      </c>
    </row>
    <row r="27" spans="1:45" x14ac:dyDescent="0.2">
      <c r="A27" s="73" t="s">
        <v>128</v>
      </c>
      <c r="B27" s="54">
        <f>COUNTIFS(Table1[Finalized?],"Yes",Table1[Type of behavior change],"Financing",Table1[Country/ Region/ Global],"ESA")</f>
        <v>0</v>
      </c>
      <c r="C27" s="54">
        <f>COUNTIFS(Table1[Finalized?],"Yes",Table1[Type of behavior change],A27,Table1[Country/ Region/ Global],A$25,Table1[Date of outcome],"FY19**")</f>
        <v>0</v>
      </c>
      <c r="D27" s="54">
        <f>COUNTIFS(Table1[Finalized?],"Yes",Table1[Type of behavior change],A27,Table1[Country/ Region/ Global],A$25,Table1[Date of outcome],"FY20**")</f>
        <v>0</v>
      </c>
      <c r="E27" s="54">
        <f>COUNTIFS(Table1[Finalized?],"Yes",Table1[Type of behavior change],A27,Table1[Country/ Region/ Global],A$25,Table1[Date of outcome],"FY21**")</f>
        <v>0</v>
      </c>
      <c r="F27" s="54">
        <f>COUNTIFS(Table1[Finalized?],"Yes",Table1[Type of behavior change],A27,Table1[Country/ Region/ Global],A$25,Table1[Date of outcome],"FY22**")</f>
        <v>0</v>
      </c>
      <c r="G27" s="88">
        <f>COUNTIFS(Table1[Finalized?],"Yes",Table1[Type of behavior change],A27,Table1[Country/ Region/ Global],A$25,Table1[Date of outcome],"FY23**")</f>
        <v>0</v>
      </c>
      <c r="I27" s="73" t="s">
        <v>128</v>
      </c>
      <c r="J27" s="54">
        <f>COUNTIFS(Table1[Finalized?],"Yes",Table1[Type of behavior change],"Financing",Table1[Country/ Region/ Global],"LAC")</f>
        <v>0</v>
      </c>
      <c r="K27" s="54">
        <f>COUNTIFS(Table1[Finalized?],"Yes",Table1[Type of behavior change],I27,Table1[Country/ Region/ Global],I$25,Table1[Date of outcome],"FY19**")</f>
        <v>0</v>
      </c>
      <c r="L27" s="54">
        <f>COUNTIFS(Table1[Finalized?],"Yes",Table1[Type of behavior change],I27,Table1[Country/ Region/ Global],I$25,Table1[Date of outcome],"FY20**")</f>
        <v>0</v>
      </c>
      <c r="M27" s="54">
        <f>COUNTIFS(Table1[Finalized?],"Yes",Table1[Type of behavior change],I27,Table1[Country/ Region/ Global],I$25,Table1[Date of outcome],"FY21**")</f>
        <v>0</v>
      </c>
      <c r="N27" s="54">
        <f>COUNTIFS(Table1[Finalized?],"Yes",Table1[Type of behavior change],I27,Table1[Country/ Region/ Global],I$25,Table1[Date of outcome],"FY22**")</f>
        <v>0</v>
      </c>
      <c r="O27" s="88">
        <f>COUNTIFS(Table1[Finalized?],"Yes",Table1[Type of behavior change],I27,Table1[Country/ Region/ Global],I$25,Table1[Date of outcome],"FY23**")</f>
        <v>0</v>
      </c>
      <c r="Q27" s="73" t="s">
        <v>128</v>
      </c>
      <c r="R27" s="54">
        <f>COUNTIFS(Table1[Finalized?],"Yes",Table1[Type of behavior change],"Financing",Table1[Country/ Region/ Global],"EE")</f>
        <v>0</v>
      </c>
      <c r="S27" s="54">
        <f>COUNTIFS(Table1[Finalized?],"Yes",Table1[Type of behavior change],Q27,Table1[Country/ Region/ Global],Q$25,Table1[Date of outcome],"FY19**")</f>
        <v>0</v>
      </c>
      <c r="T27" s="54">
        <f>COUNTIFS(Table1[Finalized?],"Yes",Table1[Type of behavior change],Q27,Table1[Country/ Region/ Global],Q$25,Table1[Date of outcome],"FY20**")</f>
        <v>0</v>
      </c>
      <c r="U27" s="54">
        <f>COUNTIFS(Table1[Finalized?],"Yes",Table1[Type of behavior change],Q27,Table1[Country/ Region/ Global],Q$25,Table1[Date of outcome],"FY21**")</f>
        <v>0</v>
      </c>
      <c r="V27" s="54">
        <f>COUNTIFS(Table1[Finalized?],"Yes",Table1[Type of behavior change],Q27,Table1[Country/ Region/ Global],Q$25,Table1[Date of outcome],"FY22**")</f>
        <v>0</v>
      </c>
      <c r="W27" s="88">
        <f>COUNTIFS(Table1[Finalized?],"Yes",Table1[Type of behavior change],Q27,Table1[Country/ Region/ Global],Q$25,Table1[Date of outcome],"FY23**")</f>
        <v>0</v>
      </c>
      <c r="Y27" s="73" t="s">
        <v>128</v>
      </c>
      <c r="AA27" s="71"/>
      <c r="AB27" s="71"/>
      <c r="AC27" s="71"/>
      <c r="AD27" s="139" t="s">
        <v>5</v>
      </c>
      <c r="AE27" s="140">
        <f>COUNTIFS(Table1[Finalized?],"Yes",Table1[Type of behavior change],Y27,Table1[Country/ Region/ Global],Y$25,Table1[Date of outcome],"FY23**")</f>
        <v>0</v>
      </c>
    </row>
    <row r="28" spans="1:45" x14ac:dyDescent="0.2">
      <c r="A28" s="75"/>
      <c r="G28" s="74"/>
      <c r="I28" s="75"/>
      <c r="O28" s="74"/>
      <c r="Q28" s="75"/>
      <c r="W28" s="74"/>
      <c r="Y28" s="75"/>
      <c r="Z28" s="55" t="s">
        <v>236</v>
      </c>
      <c r="AA28" s="55" t="s">
        <v>2</v>
      </c>
      <c r="AB28" s="55" t="s">
        <v>3</v>
      </c>
      <c r="AC28" s="55" t="s">
        <v>4</v>
      </c>
      <c r="AD28" s="141">
        <f>COUNTIFS(Table1[Finalized?],"Yes",Table1[Type of behavior change],Y27,Table1[Country/ Region/ Global],Y$25,Table1[Date of outcome],"FY22**")</f>
        <v>0</v>
      </c>
      <c r="AE28" s="142"/>
    </row>
    <row r="29" spans="1:45" ht="17" thickBot="1" x14ac:dyDescent="0.25">
      <c r="A29" s="73" t="s">
        <v>7</v>
      </c>
      <c r="B29" s="55" t="s">
        <v>236</v>
      </c>
      <c r="C29" s="55" t="s">
        <v>238</v>
      </c>
      <c r="D29" s="55" t="s">
        <v>241</v>
      </c>
      <c r="E29" s="55" t="s">
        <v>244</v>
      </c>
      <c r="F29" s="85"/>
      <c r="G29" s="76" t="s">
        <v>233</v>
      </c>
      <c r="I29" s="73" t="s">
        <v>7</v>
      </c>
      <c r="J29" s="55" t="s">
        <v>236</v>
      </c>
      <c r="K29" s="55" t="s">
        <v>238</v>
      </c>
      <c r="L29" s="55" t="s">
        <v>241</v>
      </c>
      <c r="M29" s="55" t="s">
        <v>244</v>
      </c>
      <c r="N29" s="85"/>
      <c r="O29" s="76" t="s">
        <v>233</v>
      </c>
      <c r="Q29" s="73" t="s">
        <v>7</v>
      </c>
      <c r="R29" s="55" t="s">
        <v>236</v>
      </c>
      <c r="S29" s="55" t="s">
        <v>238</v>
      </c>
      <c r="T29" s="55" t="s">
        <v>241</v>
      </c>
      <c r="U29" s="55" t="s">
        <v>244</v>
      </c>
      <c r="V29" s="85"/>
      <c r="W29" s="76" t="s">
        <v>233</v>
      </c>
      <c r="Y29" s="73" t="s">
        <v>7</v>
      </c>
      <c r="Z29" s="77">
        <f>COUNTIFS(Table1[Finalized?],"Yes",Table1[Type of behavior change],"Financing",Table1[Country/ Region/ Global],"Global",Table1[Date of outcome],"FY24Q1")</f>
        <v>0</v>
      </c>
      <c r="AA29" s="54">
        <f>COUNTIFS(Table1[Finalized?],"Yes",Table1[Type of behavior change],Y38,Table1[Country/ Region/ Global],Y$25,Table1[Date of outcome],"FY19**")</f>
        <v>0</v>
      </c>
      <c r="AB29" s="54">
        <f>COUNTIFS(Table1[Finalized?],"Yes",Table1[Type of behavior change],Y38,Table1[Country/ Region/ Global],Y$25,Table1[Date of outcome],"FY20**")</f>
        <v>0</v>
      </c>
      <c r="AC29" s="54">
        <f>COUNTIFS(Table1[Finalized?],"Yes",Table1[Type of behavior change],Y38,Table1[Country/ Region/ Global],Y$25,Table1[Date of outcome],"FY21**")</f>
        <v>0</v>
      </c>
      <c r="AE29" s="138" t="s">
        <v>233</v>
      </c>
    </row>
    <row r="30" spans="1:45" ht="17" thickBot="1" x14ac:dyDescent="0.25">
      <c r="A30" s="81" t="s">
        <v>128</v>
      </c>
      <c r="B30" s="77">
        <f>COUNTIFS(Table1[Finalized?],"Yes",Table1[Type of behavior change],"Financing",Table1[Country/ Region/ Global],"ESA",Table1[Date of outcome],"FY24Q1")</f>
        <v>0</v>
      </c>
      <c r="C30" s="77">
        <f>COUNTIFS(Table1[Finalized?],"Yes",Table1[Type of behavior change],"Financing",Table1[Country/ Region/ Global],"ESA",Table1[Date of outcome],"FY24Q2")</f>
        <v>0</v>
      </c>
      <c r="D30" s="77">
        <f>COUNTIFS(Table1[Finalized?],"Yes",Table1[Type of behavior change],"Financing",Table1[Country/ Region/ Global],"ESA",Table1[Date of outcome],"FY24Q3")</f>
        <v>0</v>
      </c>
      <c r="E30" s="77">
        <f>COUNTIFS(Table1[Finalized?],"Yes",Table1[Type of behavior change],"Financing",Table1[Country/ Region/ Global],"ESA",Table1[Date of outcome],"FY24Q4")</f>
        <v>0</v>
      </c>
      <c r="F30" s="87"/>
      <c r="G30" s="84">
        <f>SUM(B30:E30)</f>
        <v>0</v>
      </c>
      <c r="I30" s="81" t="s">
        <v>128</v>
      </c>
      <c r="J30" s="77">
        <f>COUNTIFS(Table1[Finalized?],"Yes",Table1[Type of behavior change],"Financing",Table1[Country/ Region/ Global],"LAC",Table1[Date of outcome],"FY24Q1")</f>
        <v>0</v>
      </c>
      <c r="K30" s="77">
        <f>COUNTIFS(Table1[Finalized?],"Yes",Table1[Type of behavior change],"Financing",Table1[Country/ Region/ Global],"LAC",Table1[Date of outcome],"FY24Q2")</f>
        <v>0</v>
      </c>
      <c r="L30" s="77">
        <f>COUNTIFS(Table1[Finalized?],"Yes",Table1[Type of behavior change],"Financing",Table1[Country/ Region/ Global],"LAC",Table1[Date of outcome],"FY24Q3")</f>
        <v>0</v>
      </c>
      <c r="M30" s="77">
        <f>COUNTIFS(Table1[Finalized?],"Yes",Table1[Type of behavior change],"Financing",Table1[Country/ Region/ Global],"LAC",Table1[Date of outcome],"FY24Q4")</f>
        <v>0</v>
      </c>
      <c r="N30" s="87"/>
      <c r="O30" s="84">
        <f>SUM(J30:M30)</f>
        <v>0</v>
      </c>
      <c r="Q30" s="81" t="s">
        <v>128</v>
      </c>
      <c r="R30" s="77">
        <f>COUNTIFS(Table1[Finalized?],"Yes",Table1[Type of behavior change],"Financing",Table1[Country/ Region/ Global],"EE",Table1[Date of outcome],"FY24Q1")</f>
        <v>0</v>
      </c>
      <c r="S30" s="77">
        <f>COUNTIFS(Table1[Finalized?],"Yes",Table1[Type of behavior change],"Financing",Table1[Country/ Region/ Global],"EE",Table1[Date of outcome],"FY24Q2")</f>
        <v>0</v>
      </c>
      <c r="T30" s="77">
        <f>COUNTIFS(Table1[Finalized?],"Yes",Table1[Type of behavior change],"Financing",Table1[Country/ Region/ Global],"EE",Table1[Date of outcome],"FY24Q3")</f>
        <v>0</v>
      </c>
      <c r="U30" s="77">
        <f>COUNTIFS(Table1[Finalized?],"Yes",Table1[Type of behavior change],"Financing",Table1[Country/ Region/ Global],"EE",Table1[Date of outcome],"FY24Q4")</f>
        <v>0</v>
      </c>
      <c r="V30" s="87"/>
      <c r="W30" s="84">
        <f>SUM(R30:U30)</f>
        <v>0</v>
      </c>
      <c r="Y30" s="81" t="s">
        <v>128</v>
      </c>
      <c r="AD30" s="143"/>
      <c r="AE30" s="144">
        <f>SUM(Z29:AC29)</f>
        <v>0</v>
      </c>
    </row>
    <row r="31" spans="1:45" ht="17" thickBot="1" x14ac:dyDescent="0.25">
      <c r="AA31" s="55" t="s">
        <v>238</v>
      </c>
      <c r="AB31" s="55" t="s">
        <v>241</v>
      </c>
      <c r="AC31" s="55" t="s">
        <v>244</v>
      </c>
      <c r="AD31" s="145"/>
    </row>
    <row r="32" spans="1:45" ht="17" thickBot="1" x14ac:dyDescent="0.25">
      <c r="A32" s="78" t="s">
        <v>318</v>
      </c>
      <c r="B32" s="79">
        <f>B27+J27+R27+Z26</f>
        <v>0</v>
      </c>
      <c r="AA32" s="77">
        <f>COUNTIFS(Table1[Finalized?],"Yes",Table1[Type of behavior change],"Legislation/policy",Table1[Country/ Region/ Global],"Global",Table1[Date of outcome],"FY24Q2")</f>
        <v>0</v>
      </c>
      <c r="AB32" s="77">
        <f>COUNTIFS(Table1[Finalized?],"Yes",Table1[Type of behavior change],"Legislation/policy",Table1[Country/ Region/ Global],"Global",Table1[Date of outcome],"FY24Q3")</f>
        <v>0</v>
      </c>
      <c r="AC32" s="77">
        <f>COUNTIFS(Table1[Finalized?],"Yes",Table1[Type of behavior change],"Legislation/policy",Table1[Country/ Region/ Global],"Global",Table1[Date of outcome],"FY24Q4")</f>
        <v>0</v>
      </c>
    </row>
    <row r="33" spans="1:31" ht="17" thickBot="1" x14ac:dyDescent="0.25">
      <c r="A33" s="80" t="s">
        <v>319</v>
      </c>
      <c r="B33" s="84">
        <f>G30+O30+W30+AE30</f>
        <v>0</v>
      </c>
    </row>
    <row r="34" spans="1:31" ht="17" thickBot="1" x14ac:dyDescent="0.25"/>
    <row r="35" spans="1:31" ht="17" thickBot="1" x14ac:dyDescent="0.25">
      <c r="A35" s="44" t="s">
        <v>320</v>
      </c>
      <c r="Z35" s="71"/>
    </row>
    <row r="36" spans="1:31" ht="17" thickBot="1" x14ac:dyDescent="0.25">
      <c r="A36" s="70" t="s">
        <v>100</v>
      </c>
      <c r="B36" s="71"/>
      <c r="C36" s="71"/>
      <c r="D36" s="71"/>
      <c r="E36" s="71"/>
      <c r="F36" s="71"/>
      <c r="G36" s="72"/>
      <c r="I36" s="70" t="s">
        <v>149</v>
      </c>
      <c r="J36" s="71"/>
      <c r="K36" s="71"/>
      <c r="L36" s="71"/>
      <c r="M36" s="71"/>
      <c r="N36" s="71"/>
      <c r="O36" s="72"/>
      <c r="Q36" s="70" t="s">
        <v>177</v>
      </c>
      <c r="R36" s="71"/>
      <c r="S36" s="71"/>
      <c r="T36" s="71"/>
      <c r="U36" s="71"/>
      <c r="V36" s="71"/>
      <c r="W36" s="72"/>
      <c r="Y36" s="70" t="s">
        <v>93</v>
      </c>
      <c r="Z36" s="55" t="s">
        <v>315</v>
      </c>
      <c r="AE36" s="136"/>
    </row>
    <row r="37" spans="1:31" ht="17" thickBot="1" x14ac:dyDescent="0.25">
      <c r="A37" s="73"/>
      <c r="B37" s="55" t="s">
        <v>315</v>
      </c>
      <c r="C37" s="55" t="s">
        <v>2</v>
      </c>
      <c r="D37" s="55" t="s">
        <v>3</v>
      </c>
      <c r="E37" s="55" t="s">
        <v>4</v>
      </c>
      <c r="F37" s="55" t="s">
        <v>5</v>
      </c>
      <c r="G37" s="76" t="s">
        <v>6</v>
      </c>
      <c r="I37" s="73"/>
      <c r="J37" s="55" t="s">
        <v>315</v>
      </c>
      <c r="K37" s="55" t="s">
        <v>2</v>
      </c>
      <c r="L37" s="55" t="s">
        <v>3</v>
      </c>
      <c r="M37" s="55" t="s">
        <v>4</v>
      </c>
      <c r="N37" s="55" t="s">
        <v>5</v>
      </c>
      <c r="O37" s="76" t="s">
        <v>6</v>
      </c>
      <c r="Q37" s="73"/>
      <c r="R37" s="55" t="s">
        <v>315</v>
      </c>
      <c r="S37" s="55" t="s">
        <v>2</v>
      </c>
      <c r="T37" s="55" t="s">
        <v>3</v>
      </c>
      <c r="U37" s="55" t="s">
        <v>4</v>
      </c>
      <c r="V37" s="55" t="s">
        <v>5</v>
      </c>
      <c r="W37" s="76" t="s">
        <v>6</v>
      </c>
      <c r="Y37" s="73"/>
      <c r="Z37" s="54">
        <f>COUNTIFS(Table1[Finalized?],"Yes",Table1[Type of behavior change],"Legislation/policy",Table1[Country/ Region/ Global],"Global")</f>
        <v>0</v>
      </c>
      <c r="AD37" s="137"/>
      <c r="AE37" s="138" t="s">
        <v>6</v>
      </c>
    </row>
    <row r="38" spans="1:31" x14ac:dyDescent="0.2">
      <c r="A38" s="73" t="s">
        <v>92</v>
      </c>
      <c r="B38" s="54">
        <f>COUNTIFS(Table1[Finalized?],"Yes",Table1[Type of behavior change],"Legislation/policy",Table1[Country/ Region/ Global],"ESA")</f>
        <v>0</v>
      </c>
      <c r="C38" s="54">
        <f>COUNTIFS(Table1[Finalized?],"Yes",Table1[Type of behavior change],A38,Table1[Country/ Region/ Global],A$25,Table1[Date of outcome],"FY19**")</f>
        <v>0</v>
      </c>
      <c r="D38" s="54">
        <f>COUNTIFS(Table1[Finalized?],"Yes",Table1[Type of behavior change],A38,Table1[Country/ Region/ Global],A$25,Table1[Date of outcome],"FY20**")</f>
        <v>0</v>
      </c>
      <c r="E38" s="54">
        <f>COUNTIFS(Table1[Finalized?],"Yes",Table1[Type of behavior change],A38,Table1[Country/ Region/ Global],A$25,Table1[Date of outcome],"FY21**")</f>
        <v>0</v>
      </c>
      <c r="F38" s="54">
        <f>COUNTIFS(Table1[Finalized?],"Yes",Table1[Type of behavior change],A38,Table1[Country/ Region/ Global],A$25,Table1[Date of outcome],"FY22**")</f>
        <v>0</v>
      </c>
      <c r="G38" s="88">
        <f>COUNTIFS(Table1[Finalized?],"Yes",Table1[Type of behavior change],A38,Table1[Country/ Region/ Global],A$25,Table1[Date of outcome],"FY23**")</f>
        <v>0</v>
      </c>
      <c r="I38" s="73" t="s">
        <v>92</v>
      </c>
      <c r="J38" s="54">
        <f>COUNTIFS(Table1[Finalized?],"Yes",Table1[Type of behavior change],"Legislation/policy",Table1[Country/ Region/ Global],"LAC")</f>
        <v>0</v>
      </c>
      <c r="K38" s="54">
        <f>COUNTIFS(Table1[Finalized?],"Yes",Table1[Type of behavior change],I38,Table1[Country/ Region/ Global],I$25,Table1[Date of outcome],"FY19**")</f>
        <v>0</v>
      </c>
      <c r="L38" s="54">
        <f>COUNTIFS(Table1[Finalized?],"Yes",Table1[Type of behavior change],I38,Table1[Country/ Region/ Global],I$25,Table1[Date of outcome],"FY20**")</f>
        <v>0</v>
      </c>
      <c r="M38" s="54">
        <f>COUNTIFS(Table1[Finalized?],"Yes",Table1[Type of behavior change],I38,Table1[Country/ Region/ Global],I$25,Table1[Date of outcome],"FY21**")</f>
        <v>0</v>
      </c>
      <c r="N38" s="54">
        <f>COUNTIFS(Table1[Finalized?],"Yes",Table1[Type of behavior change],I38,Table1[Country/ Region/ Global],I$25,Table1[Date of outcome],"FY22**")</f>
        <v>0</v>
      </c>
      <c r="O38" s="88">
        <f>COUNTIFS(Table1[Finalized?],"Yes",Table1[Type of behavior change],I38,Table1[Country/ Region/ Global],I$25,Table1[Date of outcome],"FY23**")</f>
        <v>0</v>
      </c>
      <c r="Q38" s="73" t="s">
        <v>92</v>
      </c>
      <c r="R38" s="54">
        <f>COUNTIFS(Table1[Finalized?],"Yes",Table1[Type of behavior change],"Legislation/policy",Table1[Country/ Region/ Global],"EE")</f>
        <v>0</v>
      </c>
      <c r="S38" s="54">
        <f>COUNTIFS(Table1[Finalized?],"Yes",Table1[Type of behavior change],Q38,Table1[Country/ Region/ Global],Q$25,Table1[Date of outcome],"FY19**")</f>
        <v>0</v>
      </c>
      <c r="T38" s="54">
        <f>COUNTIFS(Table1[Finalized?],"Yes",Table1[Type of behavior change],Q38,Table1[Country/ Region/ Global],Q$25,Table1[Date of outcome],"FY20**")</f>
        <v>0</v>
      </c>
      <c r="U38" s="54">
        <f>COUNTIFS(Table1[Finalized?],"Yes",Table1[Type of behavior change],Q38,Table1[Country/ Region/ Global],Q$25,Table1[Date of outcome],"FY21**")</f>
        <v>0</v>
      </c>
      <c r="V38" s="54">
        <f>COUNTIFS(Table1[Finalized?],"Yes",Table1[Type of behavior change],Q38,Table1[Country/ Region/ Global],Q$25,Table1[Date of outcome],"FY22**")</f>
        <v>0</v>
      </c>
      <c r="W38" s="88">
        <f>COUNTIFS(Table1[Finalized?],"Yes",Table1[Type of behavior change],Q38,Table1[Country/ Region/ Global],Q$25,Table1[Date of outcome],"FY23**")</f>
        <v>0</v>
      </c>
      <c r="Y38" s="73" t="s">
        <v>92</v>
      </c>
      <c r="AA38" s="71"/>
      <c r="AB38" s="71"/>
      <c r="AC38" s="71"/>
      <c r="AD38" s="139" t="s">
        <v>5</v>
      </c>
      <c r="AE38" s="140">
        <f>COUNTIFS(Table1[Finalized?],"Yes",Table1[Type of behavior change],Y38,Table1[Country/ Region/ Global],Y$25,Table1[Date of outcome],"FY23**")</f>
        <v>0</v>
      </c>
    </row>
    <row r="39" spans="1:31" x14ac:dyDescent="0.2">
      <c r="A39" s="75"/>
      <c r="G39" s="74"/>
      <c r="I39" s="75"/>
      <c r="O39" s="74"/>
      <c r="Q39" s="75"/>
      <c r="W39" s="74"/>
      <c r="Y39" s="75"/>
      <c r="Z39" s="55" t="s">
        <v>236</v>
      </c>
      <c r="AA39" s="55" t="s">
        <v>2</v>
      </c>
      <c r="AB39" s="55" t="s">
        <v>3</v>
      </c>
      <c r="AC39" s="55" t="s">
        <v>4</v>
      </c>
      <c r="AD39" s="141">
        <f>COUNTIFS(Table1[Finalized?],"Yes",Table1[Type of behavior change],Y38,Table1[Country/ Region/ Global],Y$25,Table1[Date of outcome],"FY22**")</f>
        <v>0</v>
      </c>
      <c r="AE39" s="142"/>
    </row>
    <row r="40" spans="1:31" ht="17" thickBot="1" x14ac:dyDescent="0.25">
      <c r="A40" s="73" t="s">
        <v>7</v>
      </c>
      <c r="B40" s="55" t="s">
        <v>236</v>
      </c>
      <c r="C40" s="55" t="s">
        <v>238</v>
      </c>
      <c r="D40" s="55" t="s">
        <v>241</v>
      </c>
      <c r="E40" s="55" t="s">
        <v>244</v>
      </c>
      <c r="F40" s="85"/>
      <c r="G40" s="76" t="s">
        <v>233</v>
      </c>
      <c r="I40" s="73" t="s">
        <v>7</v>
      </c>
      <c r="J40" s="55" t="s">
        <v>236</v>
      </c>
      <c r="K40" s="55" t="s">
        <v>238</v>
      </c>
      <c r="L40" s="55" t="s">
        <v>241</v>
      </c>
      <c r="M40" s="55" t="s">
        <v>244</v>
      </c>
      <c r="N40" s="85"/>
      <c r="O40" s="76" t="s">
        <v>233</v>
      </c>
      <c r="Q40" s="73" t="s">
        <v>7</v>
      </c>
      <c r="R40" s="55" t="s">
        <v>236</v>
      </c>
      <c r="S40" s="55" t="s">
        <v>238</v>
      </c>
      <c r="T40" s="55" t="s">
        <v>241</v>
      </c>
      <c r="U40" s="55" t="s">
        <v>244</v>
      </c>
      <c r="V40" s="85"/>
      <c r="W40" s="76" t="s">
        <v>233</v>
      </c>
      <c r="Y40" s="73" t="s">
        <v>7</v>
      </c>
      <c r="Z40" s="77">
        <f>COUNTIFS(Table1[Finalized?],"Yes",Table1[Type of behavior change],"Legislation/policy",Table1[Country/ Region/ Global],"Global",Table1[Date of outcome],"FY24Q1")</f>
        <v>0</v>
      </c>
      <c r="AA40" s="54">
        <f>COUNTIFS(Table1[Finalized?],"Yes",Table1[Type of behavior change],Y49,Table1[Country/ Region/ Global],Y$25,Table1[Date of outcome],"FY19**")</f>
        <v>0</v>
      </c>
      <c r="AB40" s="54">
        <f>COUNTIFS(Table1[Finalized?],"Yes",Table1[Type of behavior change],Y49,Table1[Country/ Region/ Global],Y$25,Table1[Date of outcome],"FY20**")</f>
        <v>0</v>
      </c>
      <c r="AC40" s="54">
        <f>COUNTIFS(Table1[Finalized?],"Yes",Table1[Type of behavior change],Y49,Table1[Country/ Region/ Global],Y$25,Table1[Date of outcome],"FY21**")</f>
        <v>0</v>
      </c>
      <c r="AE40" s="138" t="s">
        <v>233</v>
      </c>
    </row>
    <row r="41" spans="1:31" ht="17" thickBot="1" x14ac:dyDescent="0.25">
      <c r="A41" s="80" t="s">
        <v>92</v>
      </c>
      <c r="B41" s="77">
        <f>COUNTIFS(Table1[Finalized?],"Yes",Table1[Type of behavior change],"Legislation/policy",Table1[Country/ Region/ Global],"ESA",Table1[Date of outcome],"FY24Q1")</f>
        <v>0</v>
      </c>
      <c r="C41" s="77">
        <f>COUNTIFS(Table1[Finalized?],"Yes",Table1[Type of behavior change],"Legislation/policy",Table1[Country/ Region/ Global],"ESA",Table1[Date of outcome],"FY24Q2")</f>
        <v>0</v>
      </c>
      <c r="D41" s="77">
        <f>COUNTIFS(Table1[Finalized?],"Yes",Table1[Type of behavior change],"Legislation/policy",Table1[Country/ Region/ Global],"ESA",Table1[Date of outcome],"FY24Q3")</f>
        <v>0</v>
      </c>
      <c r="E41" s="77">
        <f>COUNTIFS(Table1[Finalized?],"Yes",Table1[Type of behavior change],"Legislation/policy",Table1[Country/ Region/ Global],"ESA",Table1[Date of outcome],"FY24Q4")</f>
        <v>0</v>
      </c>
      <c r="F41" s="87"/>
      <c r="G41" s="84">
        <f>SUM(B41:E41)</f>
        <v>0</v>
      </c>
      <c r="I41" s="80" t="s">
        <v>92</v>
      </c>
      <c r="J41" s="77">
        <f>COUNTIFS(Table1[Finalized?],"Yes",Table1[Type of behavior change],"Legislation/policy",Table1[Country/ Region/ Global],"LAC",Table1[Date of outcome],"FY24Q1")</f>
        <v>0</v>
      </c>
      <c r="K41" s="77">
        <f>COUNTIFS(Table1[Finalized?],"Yes",Table1[Type of behavior change],"Legislation/policy",Table1[Country/ Region/ Global],"LAC",Table1[Date of outcome],"FY24Q2")</f>
        <v>0</v>
      </c>
      <c r="L41" s="77">
        <f>COUNTIFS(Table1[Finalized?],"Yes",Table1[Type of behavior change],"Legislation/policy",Table1[Country/ Region/ Global],"LAC",Table1[Date of outcome],"FY24Q3")</f>
        <v>0</v>
      </c>
      <c r="M41" s="77">
        <f>COUNTIFS(Table1[Finalized?],"Yes",Table1[Type of behavior change],"Legislation/policy",Table1[Country/ Region/ Global],"LAC",Table1[Date of outcome],"FY24Q4")</f>
        <v>0</v>
      </c>
      <c r="N41" s="87"/>
      <c r="O41" s="84">
        <f>SUM(J41:M41)</f>
        <v>0</v>
      </c>
      <c r="Q41" s="80" t="s">
        <v>92</v>
      </c>
      <c r="R41" s="77">
        <f>COUNTIFS(Table1[Finalized?],"Yes",Table1[Type of behavior change],"Legislation/policy",Table1[Country/ Region/ Global],"EE",Table1[Date of outcome],"FY24Q1")</f>
        <v>0</v>
      </c>
      <c r="S41" s="77">
        <f>COUNTIFS(Table1[Finalized?],"Yes",Table1[Type of behavior change],"Legislation/policy",Table1[Country/ Region/ Global],"EE",Table1[Date of outcome],"FY24Q2")</f>
        <v>0</v>
      </c>
      <c r="T41" s="77">
        <f>COUNTIFS(Table1[Finalized?],"Yes",Table1[Type of behavior change],"Legislation/policy",Table1[Country/ Region/ Global],"EE",Table1[Date of outcome],"FY24Q3")</f>
        <v>0</v>
      </c>
      <c r="U41" s="77">
        <f>COUNTIFS(Table1[Finalized?],"Yes",Table1[Type of behavior change],"Legislation/policy",Table1[Country/ Region/ Global],"EE",Table1[Date of outcome],"FY24Q4")</f>
        <v>0</v>
      </c>
      <c r="V41" s="87"/>
      <c r="W41" s="84">
        <f>SUM(R41:U41)</f>
        <v>0</v>
      </c>
      <c r="Y41" s="80" t="s">
        <v>92</v>
      </c>
      <c r="AD41" s="143"/>
      <c r="AE41" s="144">
        <f>SUM(Z40:AC40)</f>
        <v>0</v>
      </c>
    </row>
    <row r="42" spans="1:31" ht="17" thickBot="1" x14ac:dyDescent="0.25">
      <c r="AA42" s="55" t="s">
        <v>238</v>
      </c>
      <c r="AB42" s="55" t="s">
        <v>241</v>
      </c>
      <c r="AC42" s="55" t="s">
        <v>244</v>
      </c>
      <c r="AD42" s="145"/>
    </row>
    <row r="43" spans="1:31" ht="17" thickBot="1" x14ac:dyDescent="0.25">
      <c r="A43" s="78" t="s">
        <v>318</v>
      </c>
      <c r="B43" s="79">
        <f>B38+J38+R38+Z37</f>
        <v>0</v>
      </c>
      <c r="AA43" s="77">
        <f>COUNTIFS(Table1[Finalized?],"Yes",Table1[Type of behavior change],"Commitment",Table1[Country/ Region/ Global],"Global",Table1[Date of outcome],"FY24Q2")</f>
        <v>0</v>
      </c>
      <c r="AB43" s="77">
        <f>COUNTIFS(Table1[Finalized?],"Yes",Table1[Type of behavior change],"Commitment",Table1[Country/ Region/ Global],"Global",Table1[Date of outcome],"FY24Q3")</f>
        <v>0</v>
      </c>
      <c r="AC43" s="77">
        <f>COUNTIFS(Table1[Finalized?],"Yes",Table1[Type of behavior change],"Commitment",Table1[Country/ Region/ Global],"Global",Table1[Date of outcome],"FY24Q4")</f>
        <v>0</v>
      </c>
    </row>
    <row r="44" spans="1:31" ht="17" thickBot="1" x14ac:dyDescent="0.25">
      <c r="A44" s="80" t="s">
        <v>319</v>
      </c>
      <c r="B44" s="84">
        <f>G41+O41+W41+AE41</f>
        <v>0</v>
      </c>
    </row>
    <row r="45" spans="1:31" ht="17" thickBot="1" x14ac:dyDescent="0.25"/>
    <row r="46" spans="1:31" ht="17" thickBot="1" x14ac:dyDescent="0.25">
      <c r="A46" s="44" t="s">
        <v>321</v>
      </c>
      <c r="Z46" s="71"/>
    </row>
    <row r="47" spans="1:31" ht="17" thickBot="1" x14ac:dyDescent="0.25">
      <c r="A47" s="70" t="s">
        <v>100</v>
      </c>
      <c r="B47" s="71"/>
      <c r="C47" s="71"/>
      <c r="D47" s="71"/>
      <c r="E47" s="71"/>
      <c r="F47" s="71"/>
      <c r="G47" s="72"/>
      <c r="I47" s="70" t="s">
        <v>149</v>
      </c>
      <c r="J47" s="71"/>
      <c r="K47" s="71"/>
      <c r="L47" s="71"/>
      <c r="M47" s="71"/>
      <c r="N47" s="71"/>
      <c r="O47" s="72"/>
      <c r="Q47" s="70" t="s">
        <v>177</v>
      </c>
      <c r="R47" s="71"/>
      <c r="S47" s="71"/>
      <c r="T47" s="71"/>
      <c r="U47" s="71"/>
      <c r="V47" s="71"/>
      <c r="W47" s="72"/>
      <c r="Y47" s="70" t="s">
        <v>93</v>
      </c>
      <c r="Z47" s="55" t="s">
        <v>315</v>
      </c>
      <c r="AE47" s="136"/>
    </row>
    <row r="48" spans="1:31" ht="17" thickBot="1" x14ac:dyDescent="0.25">
      <c r="A48" s="73"/>
      <c r="B48" s="55" t="s">
        <v>315</v>
      </c>
      <c r="C48" s="55" t="s">
        <v>2</v>
      </c>
      <c r="D48" s="55" t="s">
        <v>3</v>
      </c>
      <c r="E48" s="55" t="s">
        <v>4</v>
      </c>
      <c r="F48" s="55" t="s">
        <v>5</v>
      </c>
      <c r="G48" s="76" t="s">
        <v>6</v>
      </c>
      <c r="I48" s="73"/>
      <c r="J48" s="55" t="s">
        <v>315</v>
      </c>
      <c r="K48" s="55" t="s">
        <v>2</v>
      </c>
      <c r="L48" s="55" t="s">
        <v>3</v>
      </c>
      <c r="M48" s="55" t="s">
        <v>4</v>
      </c>
      <c r="N48" s="55" t="s">
        <v>5</v>
      </c>
      <c r="O48" s="76" t="s">
        <v>6</v>
      </c>
      <c r="Q48" s="73"/>
      <c r="R48" s="55" t="s">
        <v>315</v>
      </c>
      <c r="S48" s="55" t="s">
        <v>2</v>
      </c>
      <c r="T48" s="55" t="s">
        <v>3</v>
      </c>
      <c r="U48" s="55" t="s">
        <v>4</v>
      </c>
      <c r="V48" s="55" t="s">
        <v>5</v>
      </c>
      <c r="W48" s="76" t="s">
        <v>6</v>
      </c>
      <c r="Y48" s="73"/>
      <c r="Z48" s="54">
        <f>COUNTIFS(Table1[Finalized?],"Yes",Table1[Type of behavior change],"Commitment",Table1[Country/ Region/ Global],"Global")</f>
        <v>0</v>
      </c>
      <c r="AD48" s="137"/>
      <c r="AE48" s="138" t="s">
        <v>6</v>
      </c>
    </row>
    <row r="49" spans="1:31" x14ac:dyDescent="0.2">
      <c r="A49" s="73" t="s">
        <v>103</v>
      </c>
      <c r="B49" s="54">
        <f>COUNTIFS(Table1[Finalized?],"Yes",Table1[Type of behavior change],"Commitment",Table1[Country/ Region/ Global],"ESA")</f>
        <v>0</v>
      </c>
      <c r="C49" s="54">
        <f>COUNTIFS(Table1[Finalized?],"Yes",Table1[Type of behavior change],A49,Table1[Country/ Region/ Global],A$25,Table1[Date of outcome],"FY19**")</f>
        <v>0</v>
      </c>
      <c r="D49" s="54">
        <f>COUNTIFS(Table1[Finalized?],"Yes",Table1[Type of behavior change],A49,Table1[Country/ Region/ Global],A$25,Table1[Date of outcome],"FY20**")</f>
        <v>0</v>
      </c>
      <c r="E49" s="54">
        <f>COUNTIFS(Table1[Finalized?],"Yes",Table1[Type of behavior change],A49,Table1[Country/ Region/ Global],A$25,Table1[Date of outcome],"FY21**")</f>
        <v>0</v>
      </c>
      <c r="F49" s="54">
        <f>COUNTIFS(Table1[Finalized?],"Yes",Table1[Type of behavior change],A49,Table1[Country/ Region/ Global],A$25,Table1[Date of outcome],"FY22**")</f>
        <v>0</v>
      </c>
      <c r="G49" s="88">
        <f>COUNTIFS(Table1[Finalized?],"Yes",Table1[Type of behavior change],A49,Table1[Country/ Region/ Global],A$25,Table1[Date of outcome],"FY23**")</f>
        <v>0</v>
      </c>
      <c r="I49" s="73" t="s">
        <v>103</v>
      </c>
      <c r="J49" s="54">
        <f>COUNTIFS(Table1[Finalized?],"Yes",Table1[Type of behavior change],"Commitment",Table1[Country/ Region/ Global],"LAC")</f>
        <v>0</v>
      </c>
      <c r="K49" s="54">
        <f>COUNTIFS(Table1[Finalized?],"Yes",Table1[Type of behavior change],I49,Table1[Country/ Region/ Global],I$25,Table1[Date of outcome],"FY19**")</f>
        <v>0</v>
      </c>
      <c r="L49" s="54">
        <f>COUNTIFS(Table1[Finalized?],"Yes",Table1[Type of behavior change],I49,Table1[Country/ Region/ Global],I$25,Table1[Date of outcome],"FY20**")</f>
        <v>0</v>
      </c>
      <c r="M49" s="54">
        <f>COUNTIFS(Table1[Finalized?],"Yes",Table1[Type of behavior change],I49,Table1[Country/ Region/ Global],I$25,Table1[Date of outcome],"FY21**")</f>
        <v>0</v>
      </c>
      <c r="N49" s="54">
        <f>COUNTIFS(Table1[Finalized?],"Yes",Table1[Type of behavior change],I49,Table1[Country/ Region/ Global],I$25,Table1[Date of outcome],"FY22**")</f>
        <v>0</v>
      </c>
      <c r="O49" s="88">
        <f>COUNTIFS(Table1[Finalized?],"Yes",Table1[Type of behavior change],I49,Table1[Country/ Region/ Global],I$25,Table1[Date of outcome],"FY23**")</f>
        <v>0</v>
      </c>
      <c r="Q49" s="73" t="s">
        <v>103</v>
      </c>
      <c r="R49" s="54">
        <f>COUNTIFS(Table1[Finalized?],"Yes",Table1[Type of behavior change],"Commitment",Table1[Country/ Region/ Global],"EE")</f>
        <v>0</v>
      </c>
      <c r="S49" s="54">
        <f>COUNTIFS(Table1[Finalized?],"Yes",Table1[Type of behavior change],Q49,Table1[Country/ Region/ Global],Q$25,Table1[Date of outcome],"FY19**")</f>
        <v>0</v>
      </c>
      <c r="T49" s="54">
        <f>COUNTIFS(Table1[Finalized?],"Yes",Table1[Type of behavior change],Q49,Table1[Country/ Region/ Global],Q$25,Table1[Date of outcome],"FY20**")</f>
        <v>0</v>
      </c>
      <c r="U49" s="54">
        <f>COUNTIFS(Table1[Finalized?],"Yes",Table1[Type of behavior change],Q49,Table1[Country/ Region/ Global],Q$25,Table1[Date of outcome],"FY21**")</f>
        <v>0</v>
      </c>
      <c r="V49" s="54">
        <f>COUNTIFS(Table1[Finalized?],"Yes",Table1[Type of behavior change],Q49,Table1[Country/ Region/ Global],Q$25,Table1[Date of outcome],"FY22**")</f>
        <v>0</v>
      </c>
      <c r="W49" s="88">
        <f>COUNTIFS(Table1[Finalized?],"Yes",Table1[Type of behavior change],Q49,Table1[Country/ Region/ Global],Q$25,Table1[Date of outcome],"FY23**")</f>
        <v>0</v>
      </c>
      <c r="Y49" s="73" t="s">
        <v>103</v>
      </c>
      <c r="AA49" s="71"/>
      <c r="AB49" s="71"/>
      <c r="AC49" s="71"/>
      <c r="AD49" s="139" t="s">
        <v>5</v>
      </c>
      <c r="AE49" s="140">
        <f>COUNTIFS(Table1[Finalized?],"Yes",Table1[Type of behavior change],Y49,Table1[Country/ Region/ Global],Y$25,Table1[Date of outcome],"FY23**")</f>
        <v>0</v>
      </c>
    </row>
    <row r="50" spans="1:31" x14ac:dyDescent="0.2">
      <c r="A50" s="75"/>
      <c r="G50" s="74"/>
      <c r="I50" s="75"/>
      <c r="O50" s="74"/>
      <c r="Q50" s="75"/>
      <c r="W50" s="74"/>
      <c r="Y50" s="75"/>
      <c r="Z50" s="55" t="s">
        <v>236</v>
      </c>
      <c r="AA50" s="55" t="s">
        <v>2</v>
      </c>
      <c r="AB50" s="55" t="s">
        <v>3</v>
      </c>
      <c r="AC50" s="55" t="s">
        <v>4</v>
      </c>
      <c r="AD50" s="141">
        <f>COUNTIFS(Table1[Finalized?],"Yes",Table1[Type of behavior change],Y49,Table1[Country/ Region/ Global],Y$25,Table1[Date of outcome],"FY22**")</f>
        <v>0</v>
      </c>
      <c r="AE50" s="142"/>
    </row>
    <row r="51" spans="1:31" ht="17" thickBot="1" x14ac:dyDescent="0.25">
      <c r="A51" s="73" t="s">
        <v>7</v>
      </c>
      <c r="B51" s="55" t="s">
        <v>236</v>
      </c>
      <c r="C51" s="55" t="s">
        <v>238</v>
      </c>
      <c r="D51" s="55" t="s">
        <v>241</v>
      </c>
      <c r="E51" s="55" t="s">
        <v>244</v>
      </c>
      <c r="F51" s="85"/>
      <c r="G51" s="76" t="s">
        <v>233</v>
      </c>
      <c r="I51" s="73" t="s">
        <v>7</v>
      </c>
      <c r="J51" s="55" t="s">
        <v>236</v>
      </c>
      <c r="K51" s="55" t="s">
        <v>238</v>
      </c>
      <c r="L51" s="55" t="s">
        <v>241</v>
      </c>
      <c r="M51" s="55" t="s">
        <v>244</v>
      </c>
      <c r="N51" s="85"/>
      <c r="O51" s="76" t="s">
        <v>233</v>
      </c>
      <c r="Q51" s="73" t="s">
        <v>7</v>
      </c>
      <c r="R51" s="55" t="s">
        <v>236</v>
      </c>
      <c r="S51" s="55" t="s">
        <v>238</v>
      </c>
      <c r="T51" s="55" t="s">
        <v>241</v>
      </c>
      <c r="U51" s="55" t="s">
        <v>244</v>
      </c>
      <c r="V51" s="85"/>
      <c r="W51" s="76" t="s">
        <v>233</v>
      </c>
      <c r="Y51" s="73" t="s">
        <v>7</v>
      </c>
      <c r="Z51" s="77">
        <f>COUNTIFS(Table1[Finalized?],"Yes",Table1[Type of behavior change],"Commitment",Table1[Country/ Region/ Global],"Global",Table1[Date of outcome],"FY24Q1")</f>
        <v>0</v>
      </c>
      <c r="AA51" s="54">
        <f>COUNTIFS(Table1[Finalized?],"Yes",Table1[Type of behavior change],Y60,Table1[Country/ Region/ Global],Y$25,Table1[Date of outcome],"FY19**")</f>
        <v>0</v>
      </c>
      <c r="AB51" s="54">
        <f>COUNTIFS(Table1[Finalized?],"Yes",Table1[Type of behavior change],Y60,Table1[Country/ Region/ Global],Y$25,Table1[Date of outcome],"FY20**")</f>
        <v>0</v>
      </c>
      <c r="AC51" s="54">
        <f>COUNTIFS(Table1[Finalized?],"Yes",Table1[Type of behavior change],Y60,Table1[Country/ Region/ Global],Y$25,Table1[Date of outcome],"FY21**")</f>
        <v>0</v>
      </c>
      <c r="AE51" s="138" t="s">
        <v>233</v>
      </c>
    </row>
    <row r="52" spans="1:31" ht="17" thickBot="1" x14ac:dyDescent="0.25">
      <c r="A52" s="80" t="s">
        <v>103</v>
      </c>
      <c r="B52" s="77">
        <f>COUNTIFS(Table1[Finalized?],"Yes",Table1[Type of behavior change],"Commitment",Table1[Country/ Region/ Global],"ESA",Table1[Date of outcome],"FY24Q1")</f>
        <v>0</v>
      </c>
      <c r="C52" s="77">
        <f>COUNTIFS(Table1[Finalized?],"Yes",Table1[Type of behavior change],"Commitment",Table1[Country/ Region/ Global],"ESA",Table1[Date of outcome],"FY24Q2")</f>
        <v>0</v>
      </c>
      <c r="D52" s="77">
        <f>COUNTIFS(Table1[Finalized?],"Yes",Table1[Type of behavior change],"Commitment",Table1[Country/ Region/ Global],"ESA",Table1[Date of outcome],"FY24Q3")</f>
        <v>0</v>
      </c>
      <c r="E52" s="77">
        <f>COUNTIFS(Table1[Finalized?],"Yes",Table1[Type of behavior change],"Commitment",Table1[Country/ Region/ Global],"ESA",Table1[Date of outcome],"FY24Q4")</f>
        <v>0</v>
      </c>
      <c r="F52" s="87"/>
      <c r="G52" s="84">
        <f>SUM(B52:E52)</f>
        <v>0</v>
      </c>
      <c r="I52" s="80" t="s">
        <v>103</v>
      </c>
      <c r="J52" s="77">
        <f>COUNTIFS(Table1[Finalized?],"Yes",Table1[Type of behavior change],"Commitment",Table1[Country/ Region/ Global],"LAC",Table1[Date of outcome],"FY24Q1")</f>
        <v>0</v>
      </c>
      <c r="K52" s="77">
        <f>COUNTIFS(Table1[Finalized?],"Yes",Table1[Type of behavior change],"Commitment",Table1[Country/ Region/ Global],"LAC",Table1[Date of outcome],"FY24Q2")</f>
        <v>0</v>
      </c>
      <c r="L52" s="77">
        <f>COUNTIFS(Table1[Finalized?],"Yes",Table1[Type of behavior change],"Commitment",Table1[Country/ Region/ Global],"LAC",Table1[Date of outcome],"FY24Q3")</f>
        <v>0</v>
      </c>
      <c r="M52" s="77">
        <f>COUNTIFS(Table1[Finalized?],"Yes",Table1[Type of behavior change],"Commitment",Table1[Country/ Region/ Global],"LAC",Table1[Date of outcome],"FY24Q4")</f>
        <v>0</v>
      </c>
      <c r="N52" s="87"/>
      <c r="O52" s="84">
        <f>SUM(J52:M52)</f>
        <v>0</v>
      </c>
      <c r="Q52" s="80" t="s">
        <v>103</v>
      </c>
      <c r="R52" s="77">
        <f>COUNTIFS(Table1[Finalized?],"Yes",Table1[Type of behavior change],"Commitment",Table1[Country/ Region/ Global],"EE",Table1[Date of outcome],"FY24Q1")</f>
        <v>0</v>
      </c>
      <c r="S52" s="77">
        <f>COUNTIFS(Table1[Finalized?],"Yes",Table1[Type of behavior change],"Commitment",Table1[Country/ Region/ Global],"EE",Table1[Date of outcome],"FY24Q2")</f>
        <v>0</v>
      </c>
      <c r="T52" s="77">
        <f>COUNTIFS(Table1[Finalized?],"Yes",Table1[Type of behavior change],"Commitment",Table1[Country/ Region/ Global],"EE",Table1[Date of outcome],"FY24Q3")</f>
        <v>0</v>
      </c>
      <c r="U52" s="77">
        <f>COUNTIFS(Table1[Finalized?],"Yes",Table1[Type of behavior change],"Commitment",Table1[Country/ Region/ Global],"EE",Table1[Date of outcome],"FY24Q4")</f>
        <v>0</v>
      </c>
      <c r="V52" s="87"/>
      <c r="W52" s="84">
        <f>SUM(R52:U52)</f>
        <v>0</v>
      </c>
      <c r="Y52" s="80" t="s">
        <v>103</v>
      </c>
      <c r="AD52" s="143"/>
      <c r="AE52" s="144">
        <f>SUM(Z51:AC51)</f>
        <v>0</v>
      </c>
    </row>
    <row r="53" spans="1:31" ht="17" thickBot="1" x14ac:dyDescent="0.25">
      <c r="AA53" s="55" t="s">
        <v>238</v>
      </c>
      <c r="AB53" s="55" t="s">
        <v>241</v>
      </c>
      <c r="AC53" s="55" t="s">
        <v>244</v>
      </c>
      <c r="AD53" s="145"/>
    </row>
    <row r="54" spans="1:31" ht="17" thickBot="1" x14ac:dyDescent="0.25">
      <c r="A54" s="78" t="s">
        <v>318</v>
      </c>
      <c r="B54" s="79">
        <f>B49+J49+R49+Z48</f>
        <v>0</v>
      </c>
      <c r="AA54" s="77">
        <f>COUNTIFS(Table1[Finalized?],"Yes",Table1[Type of behavior change],"Coordination",Table1[Country/ Region/ Global],"Global",Table1[Date of outcome],"FY24Q2")</f>
        <v>0</v>
      </c>
      <c r="AB54" s="77">
        <f>COUNTIFS(Table1[Finalized?],"Yes",Table1[Type of behavior change],"Coordination",Table1[Country/ Region/ Global],"Global",Table1[Date of outcome],"FY24Q3")</f>
        <v>0</v>
      </c>
      <c r="AC54" s="77">
        <f>COUNTIFS(Table1[Finalized?],"Yes",Table1[Type of behavior change],"Coordination",Table1[Country/ Region/ Global],"Global",Table1[Date of outcome],"FY24Q4")</f>
        <v>0</v>
      </c>
    </row>
    <row r="55" spans="1:31" ht="17" thickBot="1" x14ac:dyDescent="0.25">
      <c r="A55" s="80" t="s">
        <v>319</v>
      </c>
      <c r="B55" s="84">
        <f>G52+O52+W52+AE52</f>
        <v>0</v>
      </c>
    </row>
    <row r="56" spans="1:31" ht="17" thickBot="1" x14ac:dyDescent="0.25"/>
    <row r="57" spans="1:31" ht="17" thickBot="1" x14ac:dyDescent="0.25">
      <c r="A57" s="44" t="s">
        <v>322</v>
      </c>
      <c r="Z57" s="71"/>
    </row>
    <row r="58" spans="1:31" ht="17" thickBot="1" x14ac:dyDescent="0.25">
      <c r="A58" s="70" t="s">
        <v>100</v>
      </c>
      <c r="B58" s="71"/>
      <c r="C58" s="71"/>
      <c r="D58" s="71"/>
      <c r="E58" s="71"/>
      <c r="F58" s="71"/>
      <c r="G58" s="72"/>
      <c r="I58" s="70" t="s">
        <v>149</v>
      </c>
      <c r="J58" s="71"/>
      <c r="K58" s="71"/>
      <c r="L58" s="71"/>
      <c r="M58" s="71"/>
      <c r="N58" s="71"/>
      <c r="O58" s="72"/>
      <c r="Q58" s="70" t="s">
        <v>177</v>
      </c>
      <c r="R58" s="71"/>
      <c r="S58" s="71"/>
      <c r="T58" s="71"/>
      <c r="U58" s="71"/>
      <c r="V58" s="71"/>
      <c r="W58" s="72"/>
      <c r="Y58" s="70" t="s">
        <v>93</v>
      </c>
      <c r="Z58" s="55" t="s">
        <v>315</v>
      </c>
      <c r="AE58" s="136"/>
    </row>
    <row r="59" spans="1:31" x14ac:dyDescent="0.2">
      <c r="A59" s="73"/>
      <c r="B59" s="55" t="s">
        <v>315</v>
      </c>
      <c r="C59" s="55" t="s">
        <v>2</v>
      </c>
      <c r="D59" s="55" t="s">
        <v>3</v>
      </c>
      <c r="E59" s="55" t="s">
        <v>4</v>
      </c>
      <c r="F59" s="55" t="s">
        <v>5</v>
      </c>
      <c r="G59" s="76" t="s">
        <v>6</v>
      </c>
      <c r="I59" s="73"/>
      <c r="J59" s="55" t="s">
        <v>315</v>
      </c>
      <c r="K59" s="55" t="s">
        <v>2</v>
      </c>
      <c r="L59" s="55" t="s">
        <v>3</v>
      </c>
      <c r="M59" s="55" t="s">
        <v>4</v>
      </c>
      <c r="N59" s="55" t="s">
        <v>5</v>
      </c>
      <c r="O59" s="76" t="s">
        <v>6</v>
      </c>
      <c r="Q59" s="73"/>
      <c r="R59" s="55" t="s">
        <v>315</v>
      </c>
      <c r="S59" s="55" t="s">
        <v>2</v>
      </c>
      <c r="T59" s="55" t="s">
        <v>3</v>
      </c>
      <c r="U59" s="55" t="s">
        <v>4</v>
      </c>
      <c r="V59" s="55" t="s">
        <v>5</v>
      </c>
      <c r="W59" s="76" t="s">
        <v>6</v>
      </c>
      <c r="Y59" s="73"/>
      <c r="Z59" s="54">
        <f>COUNTIFS(Table1[Finalized?],"Yes",Table1[Type of behavior change],"Coordination",Table1[Country/ Region/ Global],"Global")</f>
        <v>0</v>
      </c>
      <c r="AD59" s="137"/>
      <c r="AE59" s="138" t="s">
        <v>6</v>
      </c>
    </row>
    <row r="60" spans="1:31" x14ac:dyDescent="0.2">
      <c r="A60" s="55" t="s">
        <v>102</v>
      </c>
      <c r="B60" s="54">
        <f>COUNTIFS(Table1[Finalized?],"Yes",Table1[Type of behavior change],"Coordination",Table1[Country/ Region/ Global],"ESA")</f>
        <v>0</v>
      </c>
      <c r="C60" s="54">
        <f>COUNTIFS(Table1[Finalized?],"Yes",Table1[Type of behavior change],A60,Table1[Country/ Region/ Global],A$25,Table1[Date of outcome],"FY19**")</f>
        <v>0</v>
      </c>
      <c r="D60" s="54">
        <f>COUNTIFS(Table1[Finalized?],"Yes",Table1[Type of behavior change],A60,Table1[Country/ Region/ Global],A$25,Table1[Date of outcome],"FY20**")</f>
        <v>0</v>
      </c>
      <c r="E60" s="54">
        <f>COUNTIFS(Table1[Finalized?],"Yes",Table1[Type of behavior change],A60,Table1[Country/ Region/ Global],A$25,Table1[Date of outcome],"FY21**")</f>
        <v>0</v>
      </c>
      <c r="F60" s="54">
        <f>COUNTIFS(Table1[Finalized?],"Yes",Table1[Type of behavior change],A60,Table1[Country/ Region/ Global],A$25,Table1[Date of outcome],"FY22**")</f>
        <v>0</v>
      </c>
      <c r="G60" s="88">
        <f>COUNTIFS(Table1[Finalized?],"Yes",Table1[Type of behavior change],A60,Table1[Country/ Region/ Global],A$25,Table1[Date of outcome],"FY23**")</f>
        <v>0</v>
      </c>
      <c r="I60" s="73" t="s">
        <v>102</v>
      </c>
      <c r="J60" s="54">
        <f>COUNTIFS(Table1[Finalized?],"Yes",Table1[Type of behavior change],"Coordination",Table1[Country/ Region/ Global],"LAC")</f>
        <v>0</v>
      </c>
      <c r="K60" s="54">
        <f>COUNTIFS(Table1[Finalized?],"Yes",Table1[Type of behavior change],I60,Table1[Country/ Region/ Global],I$25,Table1[Date of outcome],"FY19**")</f>
        <v>0</v>
      </c>
      <c r="L60" s="54">
        <f>COUNTIFS(Table1[Finalized?],"Yes",Table1[Type of behavior change],I60,Table1[Country/ Region/ Global],I$25,Table1[Date of outcome],"FY20**")</f>
        <v>0</v>
      </c>
      <c r="M60" s="54">
        <f>COUNTIFS(Table1[Finalized?],"Yes",Table1[Type of behavior change],I60,Table1[Country/ Region/ Global],I$25,Table1[Date of outcome],"FY21**")</f>
        <v>0</v>
      </c>
      <c r="N60" s="54">
        <f>COUNTIFS(Table1[Finalized?],"Yes",Table1[Type of behavior change],I60,Table1[Country/ Region/ Global],I$25,Table1[Date of outcome],"FY22**")</f>
        <v>0</v>
      </c>
      <c r="O60" s="88">
        <f>COUNTIFS(Table1[Finalized?],"Yes",Table1[Type of behavior change],I60,Table1[Country/ Region/ Global],I$25,Table1[Date of outcome],"FY23**")</f>
        <v>0</v>
      </c>
      <c r="Q60" s="73" t="s">
        <v>102</v>
      </c>
      <c r="R60" s="54">
        <f>COUNTIFS(Table1[Finalized?],"Yes",Table1[Type of behavior change],"Coordination",Table1[Country/ Region/ Global],"EE")</f>
        <v>0</v>
      </c>
      <c r="S60" s="54">
        <f>COUNTIFS(Table1[Finalized?],"Yes",Table1[Type of behavior change],Q60,Table1[Country/ Region/ Global],Q$25,Table1[Date of outcome],"FY19**")</f>
        <v>0</v>
      </c>
      <c r="T60" s="54">
        <f>COUNTIFS(Table1[Finalized?],"Yes",Table1[Type of behavior change],Q60,Table1[Country/ Region/ Global],Q$25,Table1[Date of outcome],"FY20**")</f>
        <v>0</v>
      </c>
      <c r="U60" s="54">
        <f>COUNTIFS(Table1[Finalized?],"Yes",Table1[Type of behavior change],Q60,Table1[Country/ Region/ Global],Q$25,Table1[Date of outcome],"FY21**")</f>
        <v>0</v>
      </c>
      <c r="V60" s="54">
        <f>COUNTIFS(Table1[Finalized?],"Yes",Table1[Type of behavior change],Q60,Table1[Country/ Region/ Global],Q$25,Table1[Date of outcome],"FY22**")</f>
        <v>0</v>
      </c>
      <c r="W60" s="88">
        <f>COUNTIFS(Table1[Finalized?],"Yes",Table1[Type of behavior change],Q60,Table1[Country/ Region/ Global],Q$25,Table1[Date of outcome],"FY23**")</f>
        <v>0</v>
      </c>
      <c r="Y60" s="73" t="s">
        <v>102</v>
      </c>
      <c r="AD60" s="139" t="s">
        <v>5</v>
      </c>
      <c r="AE60" s="140">
        <f>COUNTIFS(Table1[Finalized?],"Yes",Table1[Type of behavior change],Y60,Table1[Country/ Region/ Global],Y$25,Table1[Date of outcome],"FY23**")</f>
        <v>0</v>
      </c>
    </row>
    <row r="61" spans="1:31" x14ac:dyDescent="0.2">
      <c r="A61" s="75"/>
      <c r="G61" s="74"/>
      <c r="I61" s="75"/>
      <c r="O61" s="74"/>
      <c r="Q61" s="75"/>
      <c r="W61" s="74"/>
      <c r="Y61" s="75"/>
      <c r="Z61" s="55" t="s">
        <v>236</v>
      </c>
      <c r="AD61" s="141">
        <f>COUNTIFS(Table1[Finalized?],"Yes",Table1[Type of behavior change],Y60,Table1[Country/ Region/ Global],Y$25,Table1[Date of outcome],"FY22**")</f>
        <v>0</v>
      </c>
      <c r="AE61" s="142"/>
    </row>
    <row r="62" spans="1:31" ht="17" thickBot="1" x14ac:dyDescent="0.25">
      <c r="A62" s="73" t="s">
        <v>7</v>
      </c>
      <c r="B62" s="55" t="s">
        <v>236</v>
      </c>
      <c r="C62" s="55" t="s">
        <v>238</v>
      </c>
      <c r="D62" s="55" t="s">
        <v>241</v>
      </c>
      <c r="E62" s="55" t="s">
        <v>244</v>
      </c>
      <c r="F62" s="85"/>
      <c r="G62" s="76" t="s">
        <v>233</v>
      </c>
      <c r="I62" s="73" t="s">
        <v>7</v>
      </c>
      <c r="J62" s="55" t="s">
        <v>236</v>
      </c>
      <c r="K62" s="55" t="s">
        <v>238</v>
      </c>
      <c r="L62" s="55" t="s">
        <v>241</v>
      </c>
      <c r="M62" s="55" t="s">
        <v>244</v>
      </c>
      <c r="N62" s="85"/>
      <c r="O62" s="76" t="s">
        <v>233</v>
      </c>
      <c r="Q62" s="73" t="s">
        <v>7</v>
      </c>
      <c r="R62" s="55" t="s">
        <v>236</v>
      </c>
      <c r="S62" s="55" t="s">
        <v>238</v>
      </c>
      <c r="T62" s="55" t="s">
        <v>241</v>
      </c>
      <c r="U62" s="55" t="s">
        <v>244</v>
      </c>
      <c r="V62" s="85"/>
      <c r="W62" s="76" t="s">
        <v>233</v>
      </c>
      <c r="Y62" s="73" t="s">
        <v>7</v>
      </c>
      <c r="Z62" s="77">
        <f>COUNTIFS(Table1[Finalized?],"Yes",Table1[Type of behavior change],"Coordination",Table1[Country/ Region/ Global],"Global",Table1[Date of outcome],"FY24Q1")</f>
        <v>0</v>
      </c>
      <c r="AE62" s="138" t="s">
        <v>233</v>
      </c>
    </row>
    <row r="63" spans="1:31" ht="17" thickBot="1" x14ac:dyDescent="0.25">
      <c r="A63" s="81" t="s">
        <v>102</v>
      </c>
      <c r="B63" s="77">
        <f>COUNTIFS(Table1[Finalized?],"Yes",Table1[Type of behavior change],"Coordination",Table1[Country/ Region/ Global],"ESA",Table1[Date of outcome],"FY24Q1")</f>
        <v>0</v>
      </c>
      <c r="C63" s="77">
        <f>COUNTIFS(Table1[Finalized?],"Yes",Table1[Type of behavior change],"Coordination",Table1[Country/ Region/ Global],"ESA",Table1[Date of outcome],"FY24Q2")</f>
        <v>0</v>
      </c>
      <c r="D63" s="77">
        <f>COUNTIFS(Table1[Finalized?],"Yes",Table1[Type of behavior change],"Coordination",Table1[Country/ Region/ Global],"ESA",Table1[Date of outcome],"FY24Q3")</f>
        <v>0</v>
      </c>
      <c r="E63" s="77">
        <f>COUNTIFS(Table1[Finalized?],"Yes",Table1[Type of behavior change],"Coordination",Table1[Country/ Region/ Global],"ESA",Table1[Date of outcome],"FY24Q4")</f>
        <v>0</v>
      </c>
      <c r="F63" s="87"/>
      <c r="G63" s="84">
        <f>SUM(B63:E63)</f>
        <v>0</v>
      </c>
      <c r="I63" s="81" t="s">
        <v>102</v>
      </c>
      <c r="J63" s="77">
        <f>COUNTIFS(Table1[Finalized?],"Yes",Table1[Type of behavior change],"Coordination",Table1[Country/ Region/ Global],"LAC",Table1[Date of outcome],"FY24Q1")</f>
        <v>0</v>
      </c>
      <c r="K63" s="77">
        <f>COUNTIFS(Table1[Finalized?],"Yes",Table1[Type of behavior change],"Coordination",Table1[Country/ Region/ Global],"LAC",Table1[Date of outcome],"FY24Q2")</f>
        <v>0</v>
      </c>
      <c r="L63" s="77">
        <f>COUNTIFS(Table1[Finalized?],"Yes",Table1[Type of behavior change],"Coordination",Table1[Country/ Region/ Global],"LAC",Table1[Date of outcome],"FY24Q3")</f>
        <v>0</v>
      </c>
      <c r="M63" s="77">
        <f>COUNTIFS(Table1[Finalized?],"Yes",Table1[Type of behavior change],"Coordination",Table1[Country/ Region/ Global],"LAC",Table1[Date of outcome],"FY24Q4")</f>
        <v>0</v>
      </c>
      <c r="N63" s="87"/>
      <c r="O63" s="84">
        <f>SUM(J63:M63)</f>
        <v>0</v>
      </c>
      <c r="Q63" s="81" t="s">
        <v>102</v>
      </c>
      <c r="R63" s="77">
        <f>COUNTIFS(Table1[Finalized?],"Yes",Table1[Type of behavior change],"Coordination",Table1[Country/ Region/ Global],"EE",Table1[Date of outcome],"FY24Q1")</f>
        <v>0</v>
      </c>
      <c r="S63" s="77">
        <f>COUNTIFS(Table1[Finalized?],"Yes",Table1[Type of behavior change],"Coordination",Table1[Country/ Region/ Global],"EE",Table1[Date of outcome],"FY24Q2")</f>
        <v>0</v>
      </c>
      <c r="T63" s="77">
        <f>COUNTIFS(Table1[Finalized?],"Yes",Table1[Type of behavior change],"Coordination",Table1[Country/ Region/ Global],"EE",Table1[Date of outcome],"FY24Q3")</f>
        <v>0</v>
      </c>
      <c r="U63" s="77">
        <f>COUNTIFS(Table1[Finalized?],"Yes",Table1[Type of behavior change],"Coordination",Table1[Country/ Region/ Global],"EE",Table1[Date of outcome],"FY24Q4")</f>
        <v>0</v>
      </c>
      <c r="V63" s="87"/>
      <c r="W63" s="84">
        <f>SUM(R63:U63)</f>
        <v>0</v>
      </c>
      <c r="Y63" s="81" t="s">
        <v>102</v>
      </c>
      <c r="AD63" s="143"/>
      <c r="AE63" s="144">
        <f>SUM(Z62:AC62)</f>
        <v>0</v>
      </c>
    </row>
    <row r="64" spans="1:31" ht="17" thickBot="1" x14ac:dyDescent="0.25">
      <c r="AD64" s="145"/>
    </row>
    <row r="65" spans="1:2" x14ac:dyDescent="0.2">
      <c r="A65" s="78" t="s">
        <v>318</v>
      </c>
      <c r="B65" s="79">
        <f>B60+J60+R60+Z59</f>
        <v>0</v>
      </c>
    </row>
    <row r="66" spans="1:2" ht="17" thickBot="1" x14ac:dyDescent="0.25">
      <c r="A66" s="80" t="s">
        <v>319</v>
      </c>
      <c r="B66" s="84">
        <f>G63+O63+W63+AE63</f>
        <v>0</v>
      </c>
    </row>
  </sheetData>
  <phoneticPr fontId="12" type="noConversion"/>
  <pageMargins left="0.7" right="0.7" top="0.75" bottom="0.75" header="0.3" footer="0.3"/>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3229-8FE6-7D4E-98B3-FF80AECFF945}">
  <dimension ref="A1:B3"/>
  <sheetViews>
    <sheetView workbookViewId="0">
      <selection activeCell="B4" sqref="B4"/>
    </sheetView>
  </sheetViews>
  <sheetFormatPr baseColWidth="10" defaultColWidth="10.5" defaultRowHeight="16" x14ac:dyDescent="0.2"/>
  <sheetData>
    <row r="1" spans="1:2" x14ac:dyDescent="0.2">
      <c r="A1" t="s">
        <v>323</v>
      </c>
    </row>
    <row r="3" spans="1:2" x14ac:dyDescent="0.2">
      <c r="A3" t="s">
        <v>324</v>
      </c>
      <c r="B3" t="s">
        <v>325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2C02-6292-0040-B281-71AAE5953FA4}">
  <dimension ref="A1:S32"/>
  <sheetViews>
    <sheetView topLeftCell="A9" workbookViewId="0">
      <selection activeCell="A2" sqref="A2:A14"/>
    </sheetView>
  </sheetViews>
  <sheetFormatPr baseColWidth="10" defaultColWidth="10.5" defaultRowHeight="16" x14ac:dyDescent="0.2"/>
  <cols>
    <col min="1" max="1" width="39.5" customWidth="1"/>
    <col min="3" max="3" width="41.83203125" bestFit="1" customWidth="1"/>
    <col min="5" max="5" width="23.83203125" customWidth="1"/>
    <col min="11" max="11" width="23.5" customWidth="1"/>
    <col min="14" max="14" width="23.5" customWidth="1"/>
    <col min="19" max="19" width="45.83203125" customWidth="1"/>
  </cols>
  <sheetData>
    <row r="1" spans="1:19" x14ac:dyDescent="0.2">
      <c r="A1" s="13" t="s">
        <v>226</v>
      </c>
      <c r="C1" s="13" t="s">
        <v>326</v>
      </c>
      <c r="E1" s="13" t="s">
        <v>68</v>
      </c>
      <c r="H1" s="13" t="s">
        <v>227</v>
      </c>
      <c r="K1" s="13" t="s">
        <v>69</v>
      </c>
      <c r="N1" s="44" t="s">
        <v>81</v>
      </c>
    </row>
    <row r="2" spans="1:19" ht="16" customHeight="1" x14ac:dyDescent="0.2">
      <c r="A2" t="s">
        <v>118</v>
      </c>
      <c r="C2" t="s">
        <v>121</v>
      </c>
      <c r="E2" t="s">
        <v>103</v>
      </c>
      <c r="H2" t="s">
        <v>119</v>
      </c>
      <c r="K2" t="s">
        <v>135</v>
      </c>
      <c r="N2" t="s">
        <v>162</v>
      </c>
      <c r="P2" t="s">
        <v>327</v>
      </c>
    </row>
    <row r="3" spans="1:19" ht="16" customHeight="1" x14ac:dyDescent="0.2">
      <c r="A3" t="s">
        <v>141</v>
      </c>
      <c r="C3" t="s">
        <v>189</v>
      </c>
      <c r="E3" t="s">
        <v>102</v>
      </c>
      <c r="H3" t="s">
        <v>113</v>
      </c>
      <c r="K3" t="s">
        <v>109</v>
      </c>
      <c r="N3" t="s">
        <v>175</v>
      </c>
      <c r="P3" t="s">
        <v>328</v>
      </c>
    </row>
    <row r="4" spans="1:19" ht="16" customHeight="1" x14ac:dyDescent="0.2">
      <c r="A4" t="s">
        <v>136</v>
      </c>
      <c r="C4" t="s">
        <v>115</v>
      </c>
      <c r="E4" t="s">
        <v>112</v>
      </c>
      <c r="H4" t="s">
        <v>94</v>
      </c>
      <c r="K4" t="s">
        <v>157</v>
      </c>
      <c r="N4" t="s">
        <v>167</v>
      </c>
      <c r="P4" t="s">
        <v>191</v>
      </c>
    </row>
    <row r="5" spans="1:19" ht="16" customHeight="1" x14ac:dyDescent="0.2">
      <c r="A5" t="s">
        <v>111</v>
      </c>
      <c r="C5" t="s">
        <v>116</v>
      </c>
      <c r="E5" t="s">
        <v>128</v>
      </c>
      <c r="H5" t="s">
        <v>182</v>
      </c>
      <c r="K5" t="s">
        <v>159</v>
      </c>
      <c r="N5" t="s">
        <v>161</v>
      </c>
      <c r="P5" t="s">
        <v>181</v>
      </c>
    </row>
    <row r="6" spans="1:19" ht="16" customHeight="1" x14ac:dyDescent="0.2">
      <c r="A6" t="s">
        <v>349</v>
      </c>
      <c r="C6" t="s">
        <v>187</v>
      </c>
      <c r="E6" t="s">
        <v>92</v>
      </c>
      <c r="H6" t="s">
        <v>169</v>
      </c>
      <c r="K6" t="s">
        <v>142</v>
      </c>
    </row>
    <row r="7" spans="1:19" ht="16" customHeight="1" x14ac:dyDescent="0.2">
      <c r="A7" t="s">
        <v>106</v>
      </c>
      <c r="C7" t="s">
        <v>166</v>
      </c>
      <c r="E7" t="s">
        <v>125</v>
      </c>
      <c r="K7" t="s">
        <v>177</v>
      </c>
    </row>
    <row r="8" spans="1:19" ht="16" customHeight="1" x14ac:dyDescent="0.2">
      <c r="A8" t="s">
        <v>155</v>
      </c>
      <c r="C8" t="s">
        <v>126</v>
      </c>
      <c r="E8" t="s">
        <v>133</v>
      </c>
      <c r="K8" t="s">
        <v>100</v>
      </c>
    </row>
    <row r="9" spans="1:19" ht="16" customHeight="1" x14ac:dyDescent="0.2">
      <c r="A9" t="s">
        <v>351</v>
      </c>
      <c r="C9" t="s">
        <v>194</v>
      </c>
      <c r="E9" t="s">
        <v>139</v>
      </c>
      <c r="K9" t="s">
        <v>149</v>
      </c>
    </row>
    <row r="10" spans="1:19" ht="16" customHeight="1" x14ac:dyDescent="0.2">
      <c r="A10" t="s">
        <v>99</v>
      </c>
      <c r="C10" t="s">
        <v>145</v>
      </c>
      <c r="K10" t="s">
        <v>93</v>
      </c>
    </row>
    <row r="11" spans="1:19" ht="16" customHeight="1" x14ac:dyDescent="0.2">
      <c r="A11" t="s">
        <v>148</v>
      </c>
      <c r="C11" t="s">
        <v>254</v>
      </c>
    </row>
    <row r="12" spans="1:19" ht="16" customHeight="1" x14ac:dyDescent="0.2">
      <c r="A12" t="s">
        <v>178</v>
      </c>
      <c r="C12" t="s">
        <v>257</v>
      </c>
      <c r="S12" s="44" t="s">
        <v>226</v>
      </c>
    </row>
    <row r="13" spans="1:19" ht="16" customHeight="1" x14ac:dyDescent="0.2">
      <c r="A13" t="s">
        <v>91</v>
      </c>
      <c r="C13" t="s">
        <v>196</v>
      </c>
      <c r="S13" t="s">
        <v>118</v>
      </c>
    </row>
    <row r="14" spans="1:19" x14ac:dyDescent="0.2">
      <c r="A14" t="s">
        <v>152</v>
      </c>
      <c r="C14" t="s">
        <v>197</v>
      </c>
      <c r="S14" t="s">
        <v>141</v>
      </c>
    </row>
    <row r="15" spans="1:19" x14ac:dyDescent="0.2">
      <c r="A15" s="22"/>
      <c r="C15" t="s">
        <v>153</v>
      </c>
      <c r="S15" t="s">
        <v>136</v>
      </c>
    </row>
    <row r="16" spans="1:19" x14ac:dyDescent="0.2">
      <c r="A16" s="22"/>
      <c r="C16" t="s">
        <v>188</v>
      </c>
      <c r="S16" t="s">
        <v>111</v>
      </c>
    </row>
    <row r="17" spans="1:19" ht="17" x14ac:dyDescent="0.2">
      <c r="A17" s="53" t="s">
        <v>329</v>
      </c>
      <c r="C17" t="s">
        <v>138</v>
      </c>
      <c r="S17" t="s">
        <v>349</v>
      </c>
    </row>
    <row r="18" spans="1:19" ht="17" x14ac:dyDescent="0.2">
      <c r="A18" s="22" t="s">
        <v>114</v>
      </c>
      <c r="C18" t="s">
        <v>190</v>
      </c>
      <c r="S18" t="s">
        <v>106</v>
      </c>
    </row>
    <row r="19" spans="1:19" ht="17" x14ac:dyDescent="0.2">
      <c r="A19" s="22" t="s">
        <v>120</v>
      </c>
      <c r="C19" t="s">
        <v>107</v>
      </c>
      <c r="S19" t="s">
        <v>155</v>
      </c>
    </row>
    <row r="20" spans="1:19" ht="17" x14ac:dyDescent="0.2">
      <c r="A20" s="22" t="s">
        <v>101</v>
      </c>
      <c r="C20" t="s">
        <v>143</v>
      </c>
      <c r="S20" t="s">
        <v>350</v>
      </c>
    </row>
    <row r="21" spans="1:19" ht="17" x14ac:dyDescent="0.2">
      <c r="A21" s="22" t="s">
        <v>95</v>
      </c>
      <c r="C21" t="s">
        <v>96</v>
      </c>
      <c r="S21" t="s">
        <v>99</v>
      </c>
    </row>
    <row r="22" spans="1:19" x14ac:dyDescent="0.2">
      <c r="A22" s="22"/>
      <c r="C22" t="s">
        <v>180</v>
      </c>
      <c r="S22" t="s">
        <v>148</v>
      </c>
    </row>
    <row r="23" spans="1:19" x14ac:dyDescent="0.2">
      <c r="A23" s="22"/>
      <c r="C23" t="s">
        <v>174</v>
      </c>
      <c r="S23" t="s">
        <v>178</v>
      </c>
    </row>
    <row r="24" spans="1:19" x14ac:dyDescent="0.2">
      <c r="A24" s="22"/>
      <c r="C24" t="s">
        <v>192</v>
      </c>
      <c r="S24" t="s">
        <v>91</v>
      </c>
    </row>
    <row r="25" spans="1:19" x14ac:dyDescent="0.2">
      <c r="A25" s="22"/>
      <c r="C25" t="s">
        <v>170</v>
      </c>
      <c r="S25" t="s">
        <v>152</v>
      </c>
    </row>
    <row r="26" spans="1:19" ht="17" x14ac:dyDescent="0.2">
      <c r="A26" s="22" t="s">
        <v>231</v>
      </c>
      <c r="C26" t="s">
        <v>171</v>
      </c>
    </row>
    <row r="27" spans="1:19" x14ac:dyDescent="0.2">
      <c r="A27" t="s">
        <v>9</v>
      </c>
      <c r="C27" t="s">
        <v>104</v>
      </c>
    </row>
    <row r="28" spans="1:19" x14ac:dyDescent="0.2">
      <c r="A28" t="s">
        <v>11</v>
      </c>
      <c r="C28" t="s">
        <v>108</v>
      </c>
    </row>
    <row r="29" spans="1:19" x14ac:dyDescent="0.2">
      <c r="A29" t="s">
        <v>13</v>
      </c>
      <c r="C29" t="s">
        <v>152</v>
      </c>
    </row>
    <row r="30" spans="1:19" x14ac:dyDescent="0.2">
      <c r="A30" t="s">
        <v>12</v>
      </c>
    </row>
    <row r="31" spans="1:19" x14ac:dyDescent="0.2">
      <c r="A31" t="s">
        <v>10</v>
      </c>
    </row>
    <row r="32" spans="1:19" x14ac:dyDescent="0.2">
      <c r="A32" t="s">
        <v>8</v>
      </c>
    </row>
  </sheetData>
  <dataValidations count="1">
    <dataValidation type="list" allowBlank="1" showInputMessage="1" showErrorMessage="1" sqref="E32" xr:uid="{6FB33380-4CE0-4E45-9FC7-A687AD32643C}">
      <formula1>Output_dropdown</formula1>
    </dataValidation>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387D-27B4-49DC-8A26-7E9498D1DE6B}">
  <dimension ref="B2:J40"/>
  <sheetViews>
    <sheetView topLeftCell="E1" workbookViewId="0">
      <selection activeCell="M9" sqref="M9"/>
    </sheetView>
  </sheetViews>
  <sheetFormatPr baseColWidth="10" defaultColWidth="8.83203125" defaultRowHeight="16" x14ac:dyDescent="0.2"/>
  <cols>
    <col min="2" max="2" width="9.5" bestFit="1" customWidth="1"/>
    <col min="3" max="3" width="55" customWidth="1"/>
    <col min="9" max="9" width="43.5" customWidth="1"/>
    <col min="10" max="10" width="34.5" customWidth="1"/>
  </cols>
  <sheetData>
    <row r="2" spans="2:10" x14ac:dyDescent="0.2">
      <c r="B2" s="44" t="s">
        <v>330</v>
      </c>
      <c r="C2" s="44" t="s">
        <v>15</v>
      </c>
      <c r="D2" s="44" t="s">
        <v>331</v>
      </c>
    </row>
    <row r="3" spans="2:10" x14ac:dyDescent="0.2">
      <c r="B3" s="56">
        <v>45344</v>
      </c>
      <c r="C3" t="s">
        <v>332</v>
      </c>
      <c r="D3" t="s">
        <v>333</v>
      </c>
      <c r="I3" s="55" t="s">
        <v>334</v>
      </c>
      <c r="J3" s="55" t="s">
        <v>335</v>
      </c>
    </row>
    <row r="4" spans="2:10" x14ac:dyDescent="0.2">
      <c r="B4" s="56">
        <v>45343</v>
      </c>
      <c r="C4" t="s">
        <v>336</v>
      </c>
      <c r="D4" t="s">
        <v>333</v>
      </c>
      <c r="I4" s="54" t="s">
        <v>121</v>
      </c>
      <c r="J4" s="54" t="s">
        <v>121</v>
      </c>
    </row>
    <row r="5" spans="2:10" x14ac:dyDescent="0.2">
      <c r="B5" s="56">
        <v>45344</v>
      </c>
      <c r="C5" t="s">
        <v>337</v>
      </c>
      <c r="D5" t="s">
        <v>333</v>
      </c>
      <c r="I5" s="54" t="s">
        <v>338</v>
      </c>
      <c r="J5" s="54" t="s">
        <v>189</v>
      </c>
    </row>
    <row r="6" spans="2:10" x14ac:dyDescent="0.2">
      <c r="I6" s="54" t="s">
        <v>339</v>
      </c>
      <c r="J6" s="54" t="s">
        <v>115</v>
      </c>
    </row>
    <row r="7" spans="2:10" x14ac:dyDescent="0.2">
      <c r="I7" s="54" t="s">
        <v>137</v>
      </c>
      <c r="J7" s="54" t="s">
        <v>116</v>
      </c>
    </row>
    <row r="8" spans="2:10" x14ac:dyDescent="0.2">
      <c r="I8" s="54" t="s">
        <v>187</v>
      </c>
      <c r="J8" s="54" t="s">
        <v>187</v>
      </c>
    </row>
    <row r="9" spans="2:10" x14ac:dyDescent="0.2">
      <c r="I9" s="54" t="s">
        <v>166</v>
      </c>
      <c r="J9" s="54" t="s">
        <v>166</v>
      </c>
    </row>
    <row r="10" spans="2:10" x14ac:dyDescent="0.2">
      <c r="I10" s="54" t="s">
        <v>126</v>
      </c>
      <c r="J10" s="54" t="s">
        <v>126</v>
      </c>
    </row>
    <row r="11" spans="2:10" x14ac:dyDescent="0.2">
      <c r="I11" s="54" t="s">
        <v>194</v>
      </c>
      <c r="J11" s="54" t="s">
        <v>194</v>
      </c>
    </row>
    <row r="12" spans="2:10" x14ac:dyDescent="0.2">
      <c r="I12" s="54" t="s">
        <v>145</v>
      </c>
      <c r="J12" s="54" t="s">
        <v>145</v>
      </c>
    </row>
    <row r="13" spans="2:10" x14ac:dyDescent="0.2">
      <c r="I13" s="54" t="s">
        <v>338</v>
      </c>
      <c r="J13" s="54" t="s">
        <v>254</v>
      </c>
    </row>
    <row r="14" spans="2:10" x14ac:dyDescent="0.2">
      <c r="I14" s="54" t="s">
        <v>338</v>
      </c>
      <c r="J14" s="54" t="s">
        <v>257</v>
      </c>
    </row>
    <row r="15" spans="2:10" x14ac:dyDescent="0.2">
      <c r="I15" s="54" t="s">
        <v>338</v>
      </c>
      <c r="J15" s="54" t="s">
        <v>196</v>
      </c>
    </row>
    <row r="16" spans="2:10" x14ac:dyDescent="0.2">
      <c r="I16" s="54" t="s">
        <v>338</v>
      </c>
      <c r="J16" s="54" t="s">
        <v>197</v>
      </c>
    </row>
    <row r="17" spans="9:10" x14ac:dyDescent="0.2">
      <c r="I17" s="54" t="s">
        <v>131</v>
      </c>
      <c r="J17" s="54" t="s">
        <v>340</v>
      </c>
    </row>
    <row r="18" spans="9:10" x14ac:dyDescent="0.2">
      <c r="I18" s="54" t="s">
        <v>134</v>
      </c>
      <c r="J18" s="54" t="s">
        <v>340</v>
      </c>
    </row>
    <row r="19" spans="9:10" x14ac:dyDescent="0.2">
      <c r="I19" s="54" t="s">
        <v>153</v>
      </c>
      <c r="J19" s="54" t="s">
        <v>153</v>
      </c>
    </row>
    <row r="20" spans="9:10" x14ac:dyDescent="0.2">
      <c r="I20" s="54" t="s">
        <v>168</v>
      </c>
      <c r="J20" s="54" t="s">
        <v>340</v>
      </c>
    </row>
    <row r="21" spans="9:10" x14ac:dyDescent="0.2">
      <c r="I21" s="54" t="s">
        <v>140</v>
      </c>
      <c r="J21" s="54" t="s">
        <v>341</v>
      </c>
    </row>
    <row r="22" spans="9:10" x14ac:dyDescent="0.2">
      <c r="I22" s="54" t="s">
        <v>342</v>
      </c>
      <c r="J22" s="54" t="s">
        <v>138</v>
      </c>
    </row>
    <row r="23" spans="9:10" x14ac:dyDescent="0.2">
      <c r="I23" s="54" t="s">
        <v>129</v>
      </c>
      <c r="J23" s="54" t="s">
        <v>129</v>
      </c>
    </row>
    <row r="24" spans="9:10" x14ac:dyDescent="0.2">
      <c r="I24" s="54" t="s">
        <v>343</v>
      </c>
      <c r="J24" s="54" t="s">
        <v>107</v>
      </c>
    </row>
    <row r="25" spans="9:10" x14ac:dyDescent="0.2">
      <c r="I25" s="54" t="s">
        <v>107</v>
      </c>
      <c r="J25" s="54" t="s">
        <v>107</v>
      </c>
    </row>
    <row r="26" spans="9:10" x14ac:dyDescent="0.2">
      <c r="I26" s="54" t="s">
        <v>344</v>
      </c>
      <c r="J26" s="54" t="s">
        <v>143</v>
      </c>
    </row>
    <row r="27" spans="9:10" x14ac:dyDescent="0.2">
      <c r="I27" s="54" t="s">
        <v>345</v>
      </c>
      <c r="J27" s="54" t="s">
        <v>96</v>
      </c>
    </row>
    <row r="28" spans="9:10" x14ac:dyDescent="0.2">
      <c r="I28" s="54" t="s">
        <v>180</v>
      </c>
      <c r="J28" s="54" t="s">
        <v>180</v>
      </c>
    </row>
    <row r="29" spans="9:10" x14ac:dyDescent="0.2">
      <c r="I29" s="54" t="s">
        <v>287</v>
      </c>
      <c r="J29" s="54" t="s">
        <v>96</v>
      </c>
    </row>
    <row r="30" spans="9:10" x14ac:dyDescent="0.2">
      <c r="I30" s="54" t="s">
        <v>289</v>
      </c>
      <c r="J30" s="54" t="s">
        <v>143</v>
      </c>
    </row>
    <row r="31" spans="9:10" x14ac:dyDescent="0.2">
      <c r="I31" s="54" t="s">
        <v>165</v>
      </c>
      <c r="J31" s="54" t="s">
        <v>340</v>
      </c>
    </row>
    <row r="32" spans="9:10" x14ac:dyDescent="0.2">
      <c r="I32" s="54" t="s">
        <v>346</v>
      </c>
      <c r="J32" s="54" t="s">
        <v>174</v>
      </c>
    </row>
    <row r="33" spans="9:10" x14ac:dyDescent="0.2">
      <c r="I33" s="54" t="s">
        <v>293</v>
      </c>
      <c r="J33" s="54" t="s">
        <v>180</v>
      </c>
    </row>
    <row r="34" spans="9:10" x14ac:dyDescent="0.2">
      <c r="I34" s="54" t="s">
        <v>347</v>
      </c>
      <c r="J34" s="54" t="s">
        <v>143</v>
      </c>
    </row>
    <row r="35" spans="9:10" x14ac:dyDescent="0.2">
      <c r="I35" s="54" t="s">
        <v>192</v>
      </c>
      <c r="J35" s="54" t="s">
        <v>192</v>
      </c>
    </row>
    <row r="36" spans="9:10" x14ac:dyDescent="0.2">
      <c r="I36" s="54" t="s">
        <v>170</v>
      </c>
      <c r="J36" s="54" t="s">
        <v>170</v>
      </c>
    </row>
    <row r="37" spans="9:10" x14ac:dyDescent="0.2">
      <c r="I37" s="54" t="s">
        <v>171</v>
      </c>
      <c r="J37" s="54" t="s">
        <v>171</v>
      </c>
    </row>
    <row r="38" spans="9:10" x14ac:dyDescent="0.2">
      <c r="I38" s="54" t="s">
        <v>104</v>
      </c>
      <c r="J38" s="54" t="s">
        <v>104</v>
      </c>
    </row>
    <row r="39" spans="9:10" x14ac:dyDescent="0.2">
      <c r="I39" s="54" t="s">
        <v>348</v>
      </c>
      <c r="J39" s="54" t="s">
        <v>108</v>
      </c>
    </row>
    <row r="40" spans="9:10" x14ac:dyDescent="0.2">
      <c r="I40" s="54" t="s">
        <v>152</v>
      </c>
      <c r="J40" s="54" t="s">
        <v>152</v>
      </c>
    </row>
  </sheetData>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C3619A17A6394AB48AE4F27FC2CB9B" ma:contentTypeVersion="51" ma:contentTypeDescription="Create a new document." ma:contentTypeScope="" ma:versionID="a9e46cb6a134e60653375b550b43a8ba">
  <xsd:schema xmlns:xsd="http://www.w3.org/2001/XMLSchema" xmlns:xs="http://www.w3.org/2001/XMLSchema" xmlns:p="http://schemas.microsoft.com/office/2006/metadata/properties" xmlns:ns1="http://schemas.microsoft.com/sharepoint/v3" xmlns:ns2="d592a358-000f-415d-80de-2ffcc011bbcc" xmlns:ns3="cbc6d95b-4f3e-4aef-822c-759093850b94" xmlns:ns4="b2594ab3-d42a-4e76-bde3-98c81b560ae9" targetNamespace="http://schemas.microsoft.com/office/2006/metadata/properties" ma:root="true" ma:fieldsID="eff5c9dacd48799732c5d3e2bdfb1730" ns1:_="" ns2:_="" ns3:_="" ns4:_="">
    <xsd:import namespace="http://schemas.microsoft.com/sharepoint/v3"/>
    <xsd:import namespace="d592a358-000f-415d-80de-2ffcc011bbcc"/>
    <xsd:import namespace="cbc6d95b-4f3e-4aef-822c-759093850b94"/>
    <xsd:import namespace="b2594ab3-d42a-4e76-bde3-98c81b560a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4:TaxCatchAll" minOccurs="0"/>
                <xsd:element ref="ns2:pf965d63094e47a5970bc4ed41e0f577" minOccurs="0"/>
                <xsd:element ref="ns2:Description" minOccurs="0"/>
                <xsd:element ref="ns2:Source" minOccurs="0"/>
                <xsd:element ref="ns1:_ip_UnifiedCompliancePolicyProperties" minOccurs="0"/>
                <xsd:element ref="ns1:_ip_UnifiedCompliancePolicyUIAction" minOccurs="0"/>
                <xsd:element ref="ns2:MediaLengthInSeconds" minOccurs="0"/>
                <xsd:element ref="ns2:lcf76f155ced4ddcb4097134ff3c332f"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92a358-000f-415d-80de-2ffcc011b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pf965d63094e47a5970bc4ed41e0f577" ma:index="22" nillable="true" ma:taxonomy="true" ma:internalName="pf965d63094e47a5970bc4ed41e0f577" ma:taxonomyFieldName="Tags" ma:displayName="Document Tag" ma:indexed="true" ma:readOnly="false" ma:default="" ma:fieldId="{9f965d63-094e-47a5-970b-c4ed41e0f577}" ma:sspId="ee90c631-7896-4d4b-aef2-bd8af8cfcaaa" ma:termSetId="a76fcca4-6e97-4235-ba0e-570fe36390fc" ma:anchorId="00000000-0000-0000-0000-000000000000" ma:open="false" ma:isKeyword="false">
      <xsd:complexType>
        <xsd:sequence>
          <xsd:element ref="pc:Terms" minOccurs="0" maxOccurs="1"/>
        </xsd:sequence>
      </xsd:complexType>
    </xsd:element>
    <xsd:element name="Description" ma:index="23" nillable="true" ma:displayName="Description" ma:format="Dropdown" ma:internalName="Description">
      <xsd:simpleType>
        <xsd:restriction base="dms:Note">
          <xsd:maxLength value="255"/>
        </xsd:restriction>
      </xsd:simpleType>
    </xsd:element>
    <xsd:element name="Source" ma:index="24" nillable="true" ma:displayName="Source" ma:format="Dropdown" ma:internalName="Source">
      <xsd:simpleType>
        <xsd:restriction base="dms:Choice">
          <xsd:enumeration value="Better Care Network"/>
          <xsd:enumeration value="The Alliance"/>
          <xsd:enumeration value="Save the Children"/>
          <xsd:enumeration value="Lumos"/>
          <xsd:enumeration value="Family for Every Child"/>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ee90c631-7896-4d4b-aef2-bd8af8cfcaaa"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6d95b-4f3e-4aef-822c-759093850b9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594ab3-d42a-4e76-bde3-98c81b560ae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562849a-9379-421e-86c2-593adad6925c}" ma:internalName="TaxCatchAll" ma:showField="CatchAllData" ma:web="cbc6d95b-4f3e-4aef-822c-759093850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594ab3-d42a-4e76-bde3-98c81b560ae9" xsi:nil="true"/>
    <lcf76f155ced4ddcb4097134ff3c332f xmlns="d592a358-000f-415d-80de-2ffcc011bbcc">
      <Terms xmlns="http://schemas.microsoft.com/office/infopath/2007/PartnerControls"/>
    </lcf76f155ced4ddcb4097134ff3c332f>
    <pf965d63094e47a5970bc4ed41e0f577 xmlns="d592a358-000f-415d-80de-2ffcc011bbcc">
      <Terms xmlns="http://schemas.microsoft.com/office/infopath/2007/PartnerControls"/>
    </pf965d63094e47a5970bc4ed41e0f577>
    <_ip_UnifiedCompliancePolicyUIAction xmlns="http://schemas.microsoft.com/sharepoint/v3" xsi:nil="true"/>
    <Description xmlns="d592a358-000f-415d-80de-2ffcc011bbcc" xsi:nil="true"/>
    <_ip_UnifiedCompliancePolicyProperties xmlns="http://schemas.microsoft.com/sharepoint/v3" xsi:nil="true"/>
    <Source xmlns="d592a358-000f-415d-80de-2ffcc011bbcc" xsi:nil="true"/>
  </documentManagement>
</p:properties>
</file>

<file path=customXml/itemProps1.xml><?xml version="1.0" encoding="utf-8"?>
<ds:datastoreItem xmlns:ds="http://schemas.openxmlformats.org/officeDocument/2006/customXml" ds:itemID="{10B05100-A36B-4001-9BD2-80EAF86D5446}">
  <ds:schemaRefs>
    <ds:schemaRef ds:uri="http://schemas.microsoft.com/sharepoint/v3/contenttype/forms"/>
  </ds:schemaRefs>
</ds:datastoreItem>
</file>

<file path=customXml/itemProps2.xml><?xml version="1.0" encoding="utf-8"?>
<ds:datastoreItem xmlns:ds="http://schemas.openxmlformats.org/officeDocument/2006/customXml" ds:itemID="{81ED3732-32FB-464C-B6C2-E3EDB0D6DE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92a358-000f-415d-80de-2ffcc011bbcc"/>
    <ds:schemaRef ds:uri="cbc6d95b-4f3e-4aef-822c-759093850b94"/>
    <ds:schemaRef ds:uri="b2594ab3-d42a-4e76-bde3-98c81b560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B99B79-4210-4073-9FF7-103499C4FE49}">
  <ds:schemaRefs>
    <ds:schemaRef ds:uri="cbc6d95b-4f3e-4aef-822c-759093850b94"/>
    <ds:schemaRef ds:uri="http://purl.org/dc/terms/"/>
    <ds:schemaRef ds:uri="http://schemas.microsoft.com/office/2006/documentManagement/types"/>
    <ds:schemaRef ds:uri="http://purl.org/dc/elements/1.1/"/>
    <ds:schemaRef ds:uri="b2594ab3-d42a-4e76-bde3-98c81b560ae9"/>
    <ds:schemaRef ds:uri="http://www.w3.org/XML/1998/namespace"/>
    <ds:schemaRef ds:uri="http://schemas.microsoft.com/office/infopath/2007/PartnerControls"/>
    <ds:schemaRef ds:uri="http://schemas.openxmlformats.org/package/2006/metadata/core-properties"/>
    <ds:schemaRef ds:uri="c2aabb71-7b42-492d-a2ea-993aa51a1f84"/>
    <ds:schemaRef ds:uri="http://schemas.microsoft.com/office/2006/metadata/properties"/>
    <ds:schemaRef ds:uri="http://purl.org/dc/dcmitype/"/>
    <ds:schemaRef ds:uri="d592a358-000f-415d-80de-2ffcc011bbc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Outcomes</vt:lpstr>
      <vt:lpstr>Data</vt:lpstr>
      <vt:lpstr>Quant dashboards</vt:lpstr>
      <vt:lpstr>Quant analysis</vt:lpstr>
      <vt:lpstr>Cogs</vt:lpstr>
      <vt:lpstr>OH indicator results</vt:lpstr>
      <vt:lpstr>Database PW</vt:lpstr>
      <vt:lpstr>Dropdowns</vt:lpstr>
      <vt:lpstr>change log</vt:lpstr>
      <vt:lpstr>Geographical_level_of_infleunce</vt:lpstr>
      <vt:lpstr>KPIs</vt:lpstr>
      <vt:lpstr>Output_dropdown</vt:lpstr>
      <vt:lpstr>Outcomes!Print_Area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Alena Sherman</cp:lastModifiedBy>
  <cp:revision/>
  <dcterms:created xsi:type="dcterms:W3CDTF">2021-05-04T02:14:14Z</dcterms:created>
  <dcterms:modified xsi:type="dcterms:W3CDTF">2025-10-23T20:38:02Z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0x010100C8C3619A17A6394AB48AE4F27FC2CB9B</vt:lpwstr>
  </property>
  <property fmtid="{D5CDD505-2E9C-101B-9397-08002B2CF9AE}" pid="3" name="Tags">
    <vt:lpwstr/>
  </property>
  <property fmtid="{D5CDD505-2E9C-101B-9397-08002B2CF9AE}" pid="4" name="MediaServiceImageTags">
    <vt:lpwstr/>
  </property>
</Properties>
</file>